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420" windowHeight="4245" tabRatio="877" activeTab="1"/>
  </bookViews>
  <sheets>
    <sheet name="ANASAYFA" sheetId="1" r:id="rId1"/>
    <sheet name="KONTROL" sheetId="2" r:id="rId2"/>
    <sheet name="BİLGİ-BELGE" sheetId="3" r:id="rId3"/>
    <sheet name="HESAP2" sheetId="4" state="hidden" r:id="rId4"/>
    <sheet name="HESAP-KATSAYI" sheetId="5" state="hidden" r:id="rId5"/>
    <sheet name="LİHKAP" sheetId="6" r:id="rId6"/>
    <sheet name="TECVİZ" sheetId="7" r:id="rId7"/>
  </sheets>
  <externalReferences>
    <externalReference r:id="rId10"/>
  </externalReferences>
  <definedNames>
    <definedName name="ALN">'HESAP-KATSAYI'!$B$1</definedName>
    <definedName name="ALN1">'HESAP-KATSAYI'!$B$4</definedName>
    <definedName name="ap">#REF!</definedName>
    <definedName name="apl">#REF!</definedName>
    <definedName name="art">'HESAP-KATSAYI'!$B$2</definedName>
    <definedName name="belge">#REF!</definedName>
    <definedName name="birl">#REF!</definedName>
    <definedName name="bö">#REF!</definedName>
    <definedName name="br">#REF!</definedName>
    <definedName name="cins">#REF!</definedName>
    <definedName name="ct">#REF!</definedName>
    <definedName name="duz">#REF!</definedName>
    <definedName name="EMN">#REF!</definedName>
    <definedName name="FAR">#REF!</definedName>
    <definedName name="HA">'HESAP-KATSAYI'!$C$1</definedName>
    <definedName name="ht">#REF!</definedName>
    <definedName name="HUR">#REF!</definedName>
    <definedName name="id">#REF!</definedName>
    <definedName name="İLY">#REF!</definedName>
    <definedName name="irt">#REF!</definedName>
    <definedName name="it">#REF!</definedName>
    <definedName name="KAT">'[1]BİLGİ-GİR'!$H$14</definedName>
    <definedName name="kon">#REF!</definedName>
    <definedName name="kont">#REF!</definedName>
    <definedName name="kt">#REF!</definedName>
    <definedName name="MET">#REF!</definedName>
    <definedName name="MIK">#REF!</definedName>
    <definedName name="muh">#REF!</definedName>
    <definedName name="PL">#REF!</definedName>
    <definedName name="PSAY">'HESAP-KATSAYI'!$B$3</definedName>
    <definedName name="py">#REF!</definedName>
    <definedName name="pyg">#REF!</definedName>
    <definedName name="rk">#REF!</definedName>
    <definedName name="SA">#REF!</definedName>
    <definedName name="sabit">'HESAP-KATSAYI'!$B$4</definedName>
    <definedName name="SB">#REF!</definedName>
    <definedName name="SC">#REF!</definedName>
    <definedName name="Sİ">#REF!</definedName>
    <definedName name="SK">#REF!</definedName>
    <definedName name="SP">#REF!</definedName>
    <definedName name="ST">#REF!</definedName>
    <definedName name="SY">#REF!</definedName>
    <definedName name="tek">#REF!</definedName>
    <definedName name="top">#REF!</definedName>
    <definedName name="_xlnm.Print_Area" localSheetId="3">'HESAP2'!#REF!</definedName>
    <definedName name="yi">#REF!</definedName>
    <definedName name="yk">'HESAP2'!$C$5</definedName>
    <definedName name="yol">#REF!</definedName>
    <definedName name="yt">#REF!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Pasel sayısı en az </t>
        </r>
        <r>
          <rPr>
            <b/>
            <sz val="10"/>
            <color indexed="10"/>
            <rFont val="Tahoma"/>
            <family val="2"/>
          </rPr>
          <t>(2)</t>
        </r>
        <r>
          <rPr>
            <sz val="8"/>
            <rFont val="Tahoma"/>
            <family val="0"/>
          </rPr>
          <t xml:space="preserve"> olmalıdır.
</t>
        </r>
      </text>
    </comment>
  </commentList>
</comments>
</file>

<file path=xl/sharedStrings.xml><?xml version="1.0" encoding="utf-8"?>
<sst xmlns="http://schemas.openxmlformats.org/spreadsheetml/2006/main" count="184" uniqueCount="156">
  <si>
    <t>Toplam =</t>
  </si>
  <si>
    <t>BİLGİ GİRİŞİ</t>
  </si>
  <si>
    <t>KONTROL ALANI                     :</t>
  </si>
  <si>
    <t>Km</t>
  </si>
  <si>
    <t>Hesap Yılı</t>
  </si>
  <si>
    <t>(A)</t>
  </si>
  <si>
    <t>(D)</t>
  </si>
  <si>
    <t xml:space="preserve">( B )                                ŞERİTVARİ HARİTALAR       </t>
  </si>
  <si>
    <t xml:space="preserve">ALAN </t>
  </si>
  <si>
    <t>PAR.SAY.</t>
  </si>
  <si>
    <t>Yör Katsayı</t>
  </si>
  <si>
    <t>En Düşük Ücret</t>
  </si>
  <si>
    <t>(A) HARİTA VE PLAN KONTROLÜ İÇİN KATSAYILAR</t>
  </si>
  <si>
    <t>(B) Oluşmuş İmar Par. yapılan ayırma ve Birleştirmeler,Yola Terk Yoldan İhdas</t>
  </si>
  <si>
    <t>( B ) Parsellerinde Ayırma ve Sınırlandırma Haritaları</t>
  </si>
  <si>
    <t>ŞERİTVARİ HARİTALARIN KONTROLÜ</t>
  </si>
  <si>
    <t>(A)                          Kontrollük Hesabı (Sonuç)</t>
  </si>
  <si>
    <t>(A)                          Kontrollük Hesabı (Hesap)</t>
  </si>
  <si>
    <t>(B)                           Oluşmuş İmar Parsellerinde Yapılan (Sonuç)</t>
  </si>
  <si>
    <t>(B)                           Oluşmuş İmar Parsellerinde Yapılan (Hesap)</t>
  </si>
  <si>
    <t xml:space="preserve">( B )                                KADASTRO PARSELİ    Sonuç)               </t>
  </si>
  <si>
    <t xml:space="preserve">( B )                                KADASTRO PARSELİ       (Hesap)            </t>
  </si>
  <si>
    <t>Çarpan Değerleri</t>
  </si>
  <si>
    <t>2 den fazla parsel için parsel başına ilave edilecek miktar</t>
  </si>
  <si>
    <t>Her Km. için</t>
  </si>
  <si>
    <t>Şeritvari haritalarda yer kontrol nokta değeri,harita bilgi ve belgeleri</t>
  </si>
  <si>
    <t>Yöresel Katsayı</t>
  </si>
  <si>
    <t>En Düşük Üc</t>
  </si>
  <si>
    <t>3.001-5.000 Arası (1000 m² si)</t>
  </si>
  <si>
    <t>5.001-10.000 Arası             (1000 m² si)</t>
  </si>
  <si>
    <t>10.001-100.000 Arası               (Ha)</t>
  </si>
  <si>
    <t>100.001 den Yukarısı             (Ha)</t>
  </si>
  <si>
    <t>1-20.000 Arası      (1-20.000 m²)</t>
  </si>
  <si>
    <t>1-3.000 Arası       (1-3.000 m²)</t>
  </si>
  <si>
    <t>20.001-100.000 Arası                   (Ha)</t>
  </si>
  <si>
    <t>100.001 den Yukarısı                  (Ha)</t>
  </si>
  <si>
    <t>1 - 100.000</t>
  </si>
  <si>
    <t>500.001-1.000.000</t>
  </si>
  <si>
    <t>1.000.001 - 1.500.000</t>
  </si>
  <si>
    <t xml:space="preserve">1.500.001 den Yukarısı  </t>
  </si>
  <si>
    <t>100.001 -500.000</t>
  </si>
  <si>
    <t>1 - 100.000 Arası  (Ha)</t>
  </si>
  <si>
    <t>100.001 -500.000        arası (Ha)</t>
  </si>
  <si>
    <t>500.001-1.000.000 arası  (Ha)</t>
  </si>
  <si>
    <t>1.500.001 den Yukarısı (Ha)</t>
  </si>
  <si>
    <t>1.000.001 - 1.500.000             arası (Ha)</t>
  </si>
  <si>
    <t>Kulu (Toplam*yk)=</t>
  </si>
  <si>
    <t>1 - 3.000</t>
  </si>
  <si>
    <t>3.001-5.000</t>
  </si>
  <si>
    <t>5.001-10.000</t>
  </si>
  <si>
    <t>10.001-100.000</t>
  </si>
  <si>
    <t>100.001 den yukarısı</t>
  </si>
  <si>
    <t>1-20.000</t>
  </si>
  <si>
    <t>20.001-100.000</t>
  </si>
  <si>
    <t>2 Parsel Üzeri mik.</t>
  </si>
  <si>
    <t>HESAPLARIN KONTROL VE DÖKÜMLÜSÜ</t>
  </si>
  <si>
    <t>Km (Şeritvari Haritalar)</t>
  </si>
  <si>
    <t>İFRAZ PARSEL SAYISI :</t>
  </si>
  <si>
    <t xml:space="preserve">(B2) </t>
  </si>
  <si>
    <t>(C)</t>
  </si>
  <si>
    <t xml:space="preserve">(B3) </t>
  </si>
  <si>
    <t>( C  )                                ARAZİ TOPLULAŞTIRMA</t>
  </si>
  <si>
    <t>ARAZİ TOPLULAŞTIRMA</t>
  </si>
  <si>
    <t>ŞEHİTKAMİL</t>
  </si>
  <si>
    <t>ŞAHİNBEY</t>
  </si>
  <si>
    <t>NİZİP</t>
  </si>
  <si>
    <t>KARKAMIŞ</t>
  </si>
  <si>
    <t>NURDAĞI</t>
  </si>
  <si>
    <t>İSLAHİYE</t>
  </si>
  <si>
    <t>ARABAN</t>
  </si>
  <si>
    <t>OĞUZELİ</t>
  </si>
  <si>
    <t>2 PARSEL ÜZERİ</t>
  </si>
  <si>
    <t>YAVUZELİ</t>
  </si>
  <si>
    <t>İLÇE</t>
  </si>
  <si>
    <t>YÖRESEL KATSAYI</t>
  </si>
  <si>
    <t>ARAZİ TOPLULAŞTIRMA KADEMESİZ</t>
  </si>
  <si>
    <t>(E)</t>
  </si>
  <si>
    <t>(F)</t>
  </si>
  <si>
    <t xml:space="preserve">KAMULAŞTIRMA (ŞERİTVARİ HARİTALAR )      </t>
  </si>
  <si>
    <t>KAMULAŞTIRMA (HEKTAR ÜZERİNDEN)</t>
  </si>
  <si>
    <t>ARAZİ TOP KADEMESİZ</t>
  </si>
  <si>
    <t>HEKTAR BAŞINA</t>
  </si>
  <si>
    <t>2017 YILI DÖNER SERMAYE</t>
  </si>
  <si>
    <t>KAMULAŞTIRMA (ŞERİTVARİ HARİTALAR )      BELGE BEDELİ DAHİL</t>
  </si>
  <si>
    <t>KAMULAŞTIRMA (HEKTAR ÜZERİNDEN) BELGE BEDELİ DAHİL</t>
  </si>
  <si>
    <t>İŞLEMİN TÜRÜ</t>
  </si>
  <si>
    <t>SONUÇ</t>
  </si>
  <si>
    <t>(G)</t>
  </si>
  <si>
    <t>(H)</t>
  </si>
  <si>
    <t>Eyyüp GENÇER</t>
  </si>
  <si>
    <t>Kadastro Kontrol Mühendisi</t>
  </si>
  <si>
    <r>
      <t xml:space="preserve"> OLUŞMUŞ İMAR PARSELLERİNDE YAPILACAK AYIRMA (İfraz),(BİRLEŞTİRME-AYIRMA BİRLİKTE),YOLA TERK,YOLDAN İHDAS   </t>
    </r>
    <r>
      <rPr>
        <sz val="11"/>
        <rFont val="Arial Tur"/>
        <family val="0"/>
      </rPr>
      <t xml:space="preserve">(15-16 </t>
    </r>
    <r>
      <rPr>
        <b/>
        <sz val="11"/>
        <rFont val="Arial Tur"/>
        <family val="0"/>
      </rPr>
      <t>UYG.)</t>
    </r>
  </si>
  <si>
    <t xml:space="preserve">KADASTRO PARSELLERİNDE AYIRMA (İfraz) VE SINIRLANDIRMA HARİTALARI KONTROLÜ        (15-16 UYG.)      </t>
  </si>
  <si>
    <t xml:space="preserve">HARİTA VE PLAN KONTROLÜ (18 UYGULAMASI) (PARSELASYON)    </t>
  </si>
  <si>
    <t>KDV DAHİL SÖZLEŞME TUTARI</t>
  </si>
  <si>
    <t>TEKNİK BELGE ÜCRETİ</t>
  </si>
  <si>
    <t>KONTROLLÜK ÜCRETİ</t>
  </si>
  <si>
    <t>TOPLAM</t>
  </si>
  <si>
    <t>YAPILAŞMAMIŞ ALANDA TECVİZ HESABI</t>
  </si>
  <si>
    <t>PAFTA ÖLÇEĞİ</t>
  </si>
  <si>
    <t xml:space="preserve">TECVİZ </t>
  </si>
  <si>
    <t>YAPILAŞMIŞ ALANLARDA TECVİZ HESABI</t>
  </si>
  <si>
    <t>TAPU ALANI</t>
  </si>
  <si>
    <t>SAYISAL ALAN</t>
  </si>
  <si>
    <t>ALAN FARKI</t>
  </si>
  <si>
    <t>DURUMU</t>
  </si>
  <si>
    <t>TECVİZ İÇİ</t>
  </si>
  <si>
    <t>TECVİZ DIŞI</t>
  </si>
  <si>
    <t>KAMULAŞTIRMA HARİTALARIN KONTROLÜ</t>
  </si>
  <si>
    <t>Kamulaştırma haritalarda yer kontrol nokta değeri,harita bilgi ve belgeleri</t>
  </si>
  <si>
    <t>KAMULAŞTIRMA</t>
  </si>
  <si>
    <t xml:space="preserve">HEKTAR BAZLI </t>
  </si>
  <si>
    <t>BELGE BEDELİ HARİÇ</t>
  </si>
  <si>
    <t xml:space="preserve">KAMULAŞTIRMA </t>
  </si>
  <si>
    <t xml:space="preserve">BELGE BEDELİ </t>
  </si>
  <si>
    <t>BELGE</t>
  </si>
  <si>
    <t>KAMULAŞTIRMA (Km)</t>
  </si>
  <si>
    <t>KONTROLLÜK ALANI (m2)</t>
  </si>
  <si>
    <t>KADASTRO BİLGİ VE BELGELERİ 
İSTEM BELGESİ VE TESLİM SENEDİ</t>
  </si>
  <si>
    <t>MAHALLE / KÖY</t>
  </si>
  <si>
    <t>PAFTA NO</t>
  </si>
  <si>
    <t>ADA NO</t>
  </si>
  <si>
    <t>PARSEL NO</t>
  </si>
  <si>
    <t>YÜZÖLÇÜMÜ</t>
  </si>
  <si>
    <t xml:space="preserve">      Sorumlu</t>
  </si>
  <si>
    <t>Taşınmazın Sahibi</t>
  </si>
  <si>
    <t>Harita Kadastro Mühendisi</t>
  </si>
  <si>
    <t>veya Vekili</t>
  </si>
  <si>
    <t>TESLİM SENEDİ</t>
  </si>
  <si>
    <t>CİNSİ</t>
  </si>
  <si>
    <t>ADEDİ</t>
  </si>
  <si>
    <t>BİRİM FİYATI</t>
  </si>
  <si>
    <t>TOPLAM FİYATI</t>
  </si>
  <si>
    <t>DÜŞÜNCELER</t>
  </si>
  <si>
    <t>Ölçü Krokisi</t>
  </si>
  <si>
    <t>Pol. Koor.</t>
  </si>
  <si>
    <t>Par.Köşe.koor.</t>
  </si>
  <si>
    <t>TESLİM EDEN</t>
  </si>
  <si>
    <t>TESLİM ALAN</t>
  </si>
  <si>
    <t>GÖRÜLMÜŞTÜR</t>
  </si>
  <si>
    <t>KADASTRO MÜDÜRÜ</t>
  </si>
  <si>
    <r>
      <t xml:space="preserve">    </t>
    </r>
    <r>
      <rPr>
        <sz val="9"/>
        <rFont val="Times New Roman"/>
        <family val="1"/>
      </rPr>
      <t>B091TKG0010000.FR.232    Rev.No/Tarih:00/02.11.2009</t>
    </r>
  </si>
  <si>
    <t xml:space="preserve">          Yukarıda nitelikleri belirtilen taşınmazın / taşınmazların ……………………</t>
  </si>
  <si>
    <t>………………………………..kullanacağımdan, suretinin verilmesini arz ederim.</t>
  </si>
  <si>
    <t>Takeo. Karne Sayf.</t>
  </si>
  <si>
    <t xml:space="preserve">Pafta Tarama </t>
  </si>
  <si>
    <t>Pafta Sureti</t>
  </si>
  <si>
    <t>Nirengi Koor.</t>
  </si>
  <si>
    <t>…../…./2017</t>
  </si>
  <si>
    <t>…/…../2017 tarih …………sayılı talebe istinaden yukarıda yazılı ………</t>
  </si>
  <si>
    <t>adet teknik belge sureti ........…...… nolu sayman mutemet alındısı ile bedeli alınmak</t>
  </si>
  <si>
    <t>suretiyle tarafımızdan teslim ve tesellüm edilmiştir……./……/2017</t>
  </si>
  <si>
    <t>Tel : 03422801168</t>
  </si>
  <si>
    <t>Gaziantep Kadastro Kontrol Mühendisi</t>
  </si>
  <si>
    <t>OLUŞAN TOPLAM PARSEL SAYISI</t>
  </si>
  <si>
    <t>İŞLEMİN TÜRÜ SEÇİNİZ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</si>
</sst>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&quot;TL&quot;_-;\-* #,##0.0\ &quot;TL&quot;_-;_-* &quot;-&quot;??\ &quot;TL&quot;_-;_-@_-"/>
    <numFmt numFmtId="173" formatCode="_-* #,##0\ &quot;TL&quot;_-;\-* #,##0\ &quot;TL&quot;_-;_-* &quot;-&quot;??\ &quot;TL&quot;_-;_-@_-"/>
    <numFmt numFmtId="174" formatCode="mmm/yyyy"/>
    <numFmt numFmtId="175" formatCode="mmmm/yyyy"/>
    <numFmt numFmtId="176" formatCode="mmmm\ yy"/>
    <numFmt numFmtId="177" formatCode="mmmmm"/>
    <numFmt numFmtId="178" formatCode="mmmm/"/>
    <numFmt numFmtId="179" formatCode="mmmm\ \ yyyy"/>
    <numFmt numFmtId="180" formatCode="mmmm\ yyyy"/>
    <numFmt numFmtId="181" formatCode="_-* #,##0.000\ &quot;TL&quot;_-;\-* #,##0.000\ &quot;TL&quot;_-;_-* &quot;-&quot;??\ &quot;TL&quot;_-;_-@_-"/>
    <numFmt numFmtId="182" formatCode="mmmm"/>
    <numFmt numFmtId="183" formatCode="_-* #,##0.0\ _T_L_-;\-* #,##0.0\ _T_L_-;_-* &quot;-&quot;?\ _T_L_-;_-@_-"/>
    <numFmt numFmtId="184" formatCode="0.000"/>
    <numFmt numFmtId="185" formatCode="0.0"/>
    <numFmt numFmtId="186" formatCode="#,##0.0"/>
    <numFmt numFmtId="187" formatCode="#,##0.000"/>
    <numFmt numFmtId="188" formatCode="_-* #,##0.0000\ &quot;TL&quot;_-;\-* #,##0.0000\ &quot;TL&quot;_-;_-* &quot;-&quot;??\ &quot;TL&quot;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_ ;\-#,##0.00\ "/>
    <numFmt numFmtId="196" formatCode="#,##0_ ;\-#,##0\ "/>
  </numFmts>
  <fonts count="116">
    <font>
      <sz val="10"/>
      <name val="Arial Tur"/>
      <family val="0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0"/>
      <color indexed="12"/>
      <name val="Arial Tur"/>
      <family val="2"/>
    </font>
    <font>
      <sz val="8"/>
      <name val="Arial Tur"/>
      <family val="0"/>
    </font>
    <font>
      <b/>
      <sz val="11"/>
      <color indexed="10"/>
      <name val="Arial Tur"/>
      <family val="2"/>
    </font>
    <font>
      <b/>
      <sz val="11"/>
      <color indexed="8"/>
      <name val="Arial Tur"/>
      <family val="0"/>
    </font>
    <font>
      <b/>
      <sz val="11"/>
      <name val="Arial Tur"/>
      <family val="0"/>
    </font>
    <font>
      <b/>
      <sz val="11"/>
      <color indexed="12"/>
      <name val="Arial Tur"/>
      <family val="0"/>
    </font>
    <font>
      <b/>
      <sz val="12"/>
      <name val="Arial Tur"/>
      <family val="0"/>
    </font>
    <font>
      <sz val="10"/>
      <color indexed="12"/>
      <name val="Arial Tur"/>
      <family val="0"/>
    </font>
    <font>
      <b/>
      <sz val="18"/>
      <color indexed="23"/>
      <name val="Arial Tur"/>
      <family val="2"/>
    </font>
    <font>
      <b/>
      <sz val="12"/>
      <color indexed="53"/>
      <name val="Arial Tur"/>
      <family val="2"/>
    </font>
    <font>
      <b/>
      <sz val="11"/>
      <color indexed="60"/>
      <name val="Arial Tur"/>
      <family val="2"/>
    </font>
    <font>
      <b/>
      <sz val="11"/>
      <color indexed="53"/>
      <name val="Arial Tur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12"/>
      <color indexed="12"/>
      <name val="Arial Tur"/>
      <family val="2"/>
    </font>
    <font>
      <b/>
      <sz val="12"/>
      <color indexed="8"/>
      <name val="Arial Tur"/>
      <family val="0"/>
    </font>
    <font>
      <b/>
      <sz val="10"/>
      <color indexed="8"/>
      <name val="Arial Tur"/>
      <family val="0"/>
    </font>
    <font>
      <b/>
      <sz val="14"/>
      <name val="Arial Tur"/>
      <family val="0"/>
    </font>
    <font>
      <b/>
      <sz val="14"/>
      <color indexed="10"/>
      <name val="Arial Tur"/>
      <family val="0"/>
    </font>
    <font>
      <b/>
      <sz val="14"/>
      <color indexed="16"/>
      <name val="Arial Tur"/>
      <family val="0"/>
    </font>
    <font>
      <b/>
      <sz val="13"/>
      <color indexed="16"/>
      <name val="Arial Tur"/>
      <family val="0"/>
    </font>
    <font>
      <sz val="14"/>
      <name val="Arial Tur"/>
      <family val="2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i/>
      <sz val="10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Century Gothic"/>
      <family val="2"/>
    </font>
    <font>
      <sz val="10"/>
      <name val="Comic Sans MS"/>
      <family val="4"/>
    </font>
    <font>
      <u val="single"/>
      <sz val="10"/>
      <name val="Century Gothic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Lucida Console"/>
      <family val="2"/>
    </font>
    <font>
      <sz val="11"/>
      <color indexed="9"/>
      <name val="Calibri"/>
      <family val="2"/>
    </font>
    <font>
      <sz val="11"/>
      <color indexed="9"/>
      <name val="Lucida Console"/>
      <family val="2"/>
    </font>
    <font>
      <i/>
      <sz val="11"/>
      <color indexed="23"/>
      <name val="Calibri"/>
      <family val="2"/>
    </font>
    <font>
      <i/>
      <sz val="11"/>
      <color indexed="23"/>
      <name val="Lucida Consol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52"/>
      <name val="Lucida Console"/>
      <family val="2"/>
    </font>
    <font>
      <b/>
      <sz val="15"/>
      <color indexed="56"/>
      <name val="Calibri"/>
      <family val="2"/>
    </font>
    <font>
      <b/>
      <sz val="15"/>
      <color indexed="56"/>
      <name val="Lucida Console"/>
      <family val="2"/>
    </font>
    <font>
      <b/>
      <sz val="13"/>
      <color indexed="56"/>
      <name val="Calibri"/>
      <family val="2"/>
    </font>
    <font>
      <b/>
      <sz val="13"/>
      <color indexed="56"/>
      <name val="Lucida Console"/>
      <family val="2"/>
    </font>
    <font>
      <b/>
      <sz val="11"/>
      <color indexed="56"/>
      <name val="Calibri"/>
      <family val="2"/>
    </font>
    <font>
      <b/>
      <sz val="11"/>
      <color indexed="56"/>
      <name val="Lucida Console"/>
      <family val="2"/>
    </font>
    <font>
      <b/>
      <sz val="11"/>
      <color indexed="63"/>
      <name val="Calibri"/>
      <family val="2"/>
    </font>
    <font>
      <b/>
      <sz val="11"/>
      <color indexed="63"/>
      <name val="Lucida Console"/>
      <family val="2"/>
    </font>
    <font>
      <sz val="11"/>
      <color indexed="62"/>
      <name val="Calibri"/>
      <family val="2"/>
    </font>
    <font>
      <sz val="11"/>
      <color indexed="62"/>
      <name val="Lucida Console"/>
      <family val="2"/>
    </font>
    <font>
      <b/>
      <sz val="11"/>
      <color indexed="52"/>
      <name val="Calibri"/>
      <family val="2"/>
    </font>
    <font>
      <b/>
      <sz val="11"/>
      <color indexed="52"/>
      <name val="Lucida Console"/>
      <family val="2"/>
    </font>
    <font>
      <b/>
      <sz val="11"/>
      <color indexed="9"/>
      <name val="Calibri"/>
      <family val="2"/>
    </font>
    <font>
      <b/>
      <sz val="11"/>
      <color indexed="9"/>
      <name val="Lucida Console"/>
      <family val="2"/>
    </font>
    <font>
      <sz val="11"/>
      <color indexed="17"/>
      <name val="Calibri"/>
      <family val="2"/>
    </font>
    <font>
      <sz val="11"/>
      <color indexed="17"/>
      <name val="Lucida Console"/>
      <family val="2"/>
    </font>
    <font>
      <sz val="11"/>
      <color indexed="20"/>
      <name val="Calibri"/>
      <family val="2"/>
    </font>
    <font>
      <sz val="11"/>
      <color indexed="20"/>
      <name val="Lucida Console"/>
      <family val="2"/>
    </font>
    <font>
      <sz val="11"/>
      <color indexed="60"/>
      <name val="Calibri"/>
      <family val="2"/>
    </font>
    <font>
      <sz val="11"/>
      <color indexed="60"/>
      <name val="Lucida Console"/>
      <family val="2"/>
    </font>
    <font>
      <b/>
      <sz val="11"/>
      <color indexed="8"/>
      <name val="Calibri"/>
      <family val="2"/>
    </font>
    <font>
      <b/>
      <sz val="11"/>
      <color indexed="8"/>
      <name val="Lucida Console"/>
      <family val="2"/>
    </font>
    <font>
      <sz val="11"/>
      <color indexed="10"/>
      <name val="Calibri"/>
      <family val="2"/>
    </font>
    <font>
      <sz val="11"/>
      <color indexed="10"/>
      <name val="Lucida Console"/>
      <family val="2"/>
    </font>
    <font>
      <b/>
      <sz val="10"/>
      <color indexed="10"/>
      <name val="Times New Roman"/>
      <family val="1"/>
    </font>
    <font>
      <b/>
      <sz val="10"/>
      <color indexed="10"/>
      <name val="Antique Olive Compact"/>
      <family val="2"/>
    </font>
    <font>
      <b/>
      <sz val="10"/>
      <color indexed="10"/>
      <name val="Arial"/>
      <family val="2"/>
    </font>
    <font>
      <b/>
      <sz val="12"/>
      <color indexed="8"/>
      <name val="Lucida Console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Lucida Console"/>
      <family val="2"/>
    </font>
    <font>
      <sz val="11"/>
      <color theme="0"/>
      <name val="Calibri"/>
      <family val="2"/>
    </font>
    <font>
      <sz val="11"/>
      <color theme="0"/>
      <name val="Lucida Console"/>
      <family val="2"/>
    </font>
    <font>
      <i/>
      <sz val="11"/>
      <color rgb="FF7F7F7F"/>
      <name val="Calibri"/>
      <family val="2"/>
    </font>
    <font>
      <i/>
      <sz val="11"/>
      <color rgb="FF7F7F7F"/>
      <name val="Lucida Console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A7D00"/>
      <name val="Lucida Console"/>
      <family val="2"/>
    </font>
    <font>
      <b/>
      <sz val="15"/>
      <color theme="3"/>
      <name val="Calibri"/>
      <family val="2"/>
    </font>
    <font>
      <b/>
      <sz val="15"/>
      <color theme="3"/>
      <name val="Lucida Console"/>
      <family val="2"/>
    </font>
    <font>
      <b/>
      <sz val="13"/>
      <color theme="3"/>
      <name val="Calibri"/>
      <family val="2"/>
    </font>
    <font>
      <b/>
      <sz val="13"/>
      <color theme="3"/>
      <name val="Lucida Console"/>
      <family val="2"/>
    </font>
    <font>
      <b/>
      <sz val="11"/>
      <color theme="3"/>
      <name val="Calibri"/>
      <family val="2"/>
    </font>
    <font>
      <b/>
      <sz val="11"/>
      <color theme="3"/>
      <name val="Lucida Console"/>
      <family val="2"/>
    </font>
    <font>
      <b/>
      <sz val="11"/>
      <color rgb="FF3F3F3F"/>
      <name val="Calibri"/>
      <family val="2"/>
    </font>
    <font>
      <b/>
      <sz val="11"/>
      <color rgb="FF3F3F3F"/>
      <name val="Lucida Console"/>
      <family val="2"/>
    </font>
    <font>
      <sz val="11"/>
      <color rgb="FF3F3F76"/>
      <name val="Calibri"/>
      <family val="2"/>
    </font>
    <font>
      <sz val="11"/>
      <color rgb="FF3F3F76"/>
      <name val="Lucida Console"/>
      <family val="2"/>
    </font>
    <font>
      <b/>
      <sz val="11"/>
      <color rgb="FFFA7D00"/>
      <name val="Calibri"/>
      <family val="2"/>
    </font>
    <font>
      <b/>
      <sz val="11"/>
      <color rgb="FFFA7D00"/>
      <name val="Lucida Console"/>
      <family val="2"/>
    </font>
    <font>
      <b/>
      <sz val="11"/>
      <color theme="0"/>
      <name val="Calibri"/>
      <family val="2"/>
    </font>
    <font>
      <b/>
      <sz val="11"/>
      <color theme="0"/>
      <name val="Lucida Console"/>
      <family val="2"/>
    </font>
    <font>
      <sz val="11"/>
      <color rgb="FF006100"/>
      <name val="Calibri"/>
      <family val="2"/>
    </font>
    <font>
      <sz val="11"/>
      <color rgb="FF006100"/>
      <name val="Lucida Console"/>
      <family val="2"/>
    </font>
    <font>
      <sz val="11"/>
      <color rgb="FF9C0006"/>
      <name val="Calibri"/>
      <family val="2"/>
    </font>
    <font>
      <sz val="11"/>
      <color rgb="FF9C0006"/>
      <name val="Lucida Console"/>
      <family val="2"/>
    </font>
    <font>
      <sz val="11"/>
      <color rgb="FF9C6500"/>
      <name val="Calibri"/>
      <family val="2"/>
    </font>
    <font>
      <sz val="11"/>
      <color rgb="FF9C6500"/>
      <name val="Lucida Console"/>
      <family val="2"/>
    </font>
    <font>
      <b/>
      <sz val="11"/>
      <color theme="1"/>
      <name val="Calibri"/>
      <family val="2"/>
    </font>
    <font>
      <b/>
      <sz val="11"/>
      <color theme="1"/>
      <name val="Lucida Console"/>
      <family val="2"/>
    </font>
    <font>
      <sz val="11"/>
      <color rgb="FFFF0000"/>
      <name val="Calibri"/>
      <family val="2"/>
    </font>
    <font>
      <sz val="11"/>
      <color rgb="FFFF0000"/>
      <name val="Lucida Console"/>
      <family val="2"/>
    </font>
    <font>
      <b/>
      <sz val="10"/>
      <color rgb="FFFF0000"/>
      <name val="Times New Roman"/>
      <family val="1"/>
    </font>
    <font>
      <b/>
      <sz val="10"/>
      <color rgb="FFFF0000"/>
      <name val="Antique Olive Compact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Lucida Console"/>
      <family val="3"/>
    </font>
    <font>
      <b/>
      <sz val="8"/>
      <name val="Arial Tu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8" fillId="2" borderId="0" applyNumberFormat="0" applyBorder="0" applyAlignment="0" applyProtection="0"/>
    <xf numFmtId="0" fontId="77" fillId="3" borderId="0" applyNumberFormat="0" applyBorder="0" applyAlignment="0" applyProtection="0"/>
    <xf numFmtId="0" fontId="78" fillId="3" borderId="0" applyNumberFormat="0" applyBorder="0" applyAlignment="0" applyProtection="0"/>
    <xf numFmtId="0" fontId="77" fillId="4" borderId="0" applyNumberFormat="0" applyBorder="0" applyAlignment="0" applyProtection="0"/>
    <xf numFmtId="0" fontId="78" fillId="4" borderId="0" applyNumberFormat="0" applyBorder="0" applyAlignment="0" applyProtection="0"/>
    <xf numFmtId="0" fontId="77" fillId="5" borderId="0" applyNumberFormat="0" applyBorder="0" applyAlignment="0" applyProtection="0"/>
    <xf numFmtId="0" fontId="78" fillId="5" borderId="0" applyNumberFormat="0" applyBorder="0" applyAlignment="0" applyProtection="0"/>
    <xf numFmtId="0" fontId="77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7" borderId="0" applyNumberFormat="0" applyBorder="0" applyAlignment="0" applyProtection="0"/>
    <xf numFmtId="0" fontId="78" fillId="7" borderId="0" applyNumberFormat="0" applyBorder="0" applyAlignment="0" applyProtection="0"/>
    <xf numFmtId="0" fontId="77" fillId="8" borderId="0" applyNumberFormat="0" applyBorder="0" applyAlignment="0" applyProtection="0"/>
    <xf numFmtId="0" fontId="78" fillId="8" borderId="0" applyNumberFormat="0" applyBorder="0" applyAlignment="0" applyProtection="0"/>
    <xf numFmtId="0" fontId="77" fillId="9" borderId="0" applyNumberFormat="0" applyBorder="0" applyAlignment="0" applyProtection="0"/>
    <xf numFmtId="0" fontId="78" fillId="9" borderId="0" applyNumberFormat="0" applyBorder="0" applyAlignment="0" applyProtection="0"/>
    <xf numFmtId="0" fontId="77" fillId="10" borderId="0" applyNumberFormat="0" applyBorder="0" applyAlignment="0" applyProtection="0"/>
    <xf numFmtId="0" fontId="78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11" borderId="0" applyNumberFormat="0" applyBorder="0" applyAlignment="0" applyProtection="0"/>
    <xf numFmtId="0" fontId="77" fillId="12" borderId="0" applyNumberFormat="0" applyBorder="0" applyAlignment="0" applyProtection="0"/>
    <xf numFmtId="0" fontId="78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80" fillId="14" borderId="0" applyNumberFormat="0" applyBorder="0" applyAlignment="0" applyProtection="0"/>
    <xf numFmtId="0" fontId="79" fillId="15" borderId="0" applyNumberFormat="0" applyBorder="0" applyAlignment="0" applyProtection="0"/>
    <xf numFmtId="0" fontId="80" fillId="15" borderId="0" applyNumberFormat="0" applyBorder="0" applyAlignment="0" applyProtection="0"/>
    <xf numFmtId="0" fontId="79" fillId="16" borderId="0" applyNumberFormat="0" applyBorder="0" applyAlignment="0" applyProtection="0"/>
    <xf numFmtId="0" fontId="80" fillId="16" borderId="0" applyNumberFormat="0" applyBorder="0" applyAlignment="0" applyProtection="0"/>
    <xf numFmtId="0" fontId="79" fillId="17" borderId="0" applyNumberFormat="0" applyBorder="0" applyAlignment="0" applyProtection="0"/>
    <xf numFmtId="0" fontId="80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2" fillId="20" borderId="5" applyNumberFormat="0" applyAlignment="0" applyProtection="0"/>
    <xf numFmtId="0" fontId="93" fillId="20" borderId="5" applyNumberFormat="0" applyAlignment="0" applyProtection="0"/>
    <xf numFmtId="0" fontId="94" fillId="21" borderId="6" applyNumberFormat="0" applyAlignment="0" applyProtection="0"/>
    <xf numFmtId="0" fontId="95" fillId="21" borderId="6" applyNumberFormat="0" applyAlignment="0" applyProtection="0"/>
    <xf numFmtId="0" fontId="96" fillId="20" borderId="6" applyNumberFormat="0" applyAlignment="0" applyProtection="0"/>
    <xf numFmtId="0" fontId="97" fillId="20" borderId="6" applyNumberFormat="0" applyAlignment="0" applyProtection="0"/>
    <xf numFmtId="0" fontId="98" fillId="22" borderId="7" applyNumberFormat="0" applyAlignment="0" applyProtection="0"/>
    <xf numFmtId="0" fontId="99" fillId="22" borderId="7" applyNumberFormat="0" applyAlignment="0" applyProtection="0"/>
    <xf numFmtId="0" fontId="100" fillId="23" borderId="0" applyNumberFormat="0" applyBorder="0" applyAlignment="0" applyProtection="0"/>
    <xf numFmtId="0" fontId="101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0" fillId="25" borderId="8" applyNumberFormat="0" applyFont="0" applyAlignment="0" applyProtection="0"/>
    <xf numFmtId="0" fontId="78" fillId="25" borderId="8" applyNumberFormat="0" applyFont="0" applyAlignment="0" applyProtection="0"/>
    <xf numFmtId="0" fontId="104" fillId="26" borderId="0" applyNumberFormat="0" applyBorder="0" applyAlignment="0" applyProtection="0"/>
    <xf numFmtId="0" fontId="10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80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173" fontId="0" fillId="0" borderId="0" xfId="84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7" fillId="33" borderId="10" xfId="0" applyFont="1" applyFill="1" applyBorder="1" applyAlignment="1">
      <alignment horizontal="left"/>
    </xf>
    <xf numFmtId="3" fontId="5" fillId="33" borderId="10" xfId="84" applyNumberFormat="1" applyFont="1" applyFill="1" applyBorder="1" applyAlignment="1">
      <alignment horizontal="right"/>
    </xf>
    <xf numFmtId="0" fontId="0" fillId="34" borderId="10" xfId="84" applyNumberFormat="1" applyFont="1" applyFill="1" applyBorder="1" applyAlignment="1">
      <alignment horizontal="center"/>
    </xf>
    <xf numFmtId="0" fontId="0" fillId="35" borderId="10" xfId="84" applyNumberFormat="1" applyFont="1" applyFill="1" applyBorder="1" applyAlignment="1">
      <alignment horizontal="center"/>
    </xf>
    <xf numFmtId="0" fontId="0" fillId="36" borderId="10" xfId="84" applyNumberFormat="1" applyFont="1" applyFill="1" applyBorder="1" applyAlignment="1">
      <alignment horizontal="center"/>
    </xf>
    <xf numFmtId="0" fontId="0" fillId="36" borderId="11" xfId="84" applyNumberFormat="1" applyFont="1" applyFill="1" applyBorder="1" applyAlignment="1">
      <alignment horizontal="center"/>
    </xf>
    <xf numFmtId="0" fontId="0" fillId="33" borderId="10" xfId="84" applyNumberFormat="1" applyFont="1" applyFill="1" applyBorder="1" applyAlignment="1">
      <alignment horizontal="center"/>
    </xf>
    <xf numFmtId="173" fontId="7" fillId="0" borderId="0" xfId="84" applyNumberFormat="1" applyFont="1" applyAlignment="1">
      <alignment/>
    </xf>
    <xf numFmtId="0" fontId="0" fillId="37" borderId="12" xfId="0" applyFill="1" applyBorder="1" applyAlignment="1">
      <alignment/>
    </xf>
    <xf numFmtId="0" fontId="1" fillId="38" borderId="0" xfId="0" applyFont="1" applyFill="1" applyBorder="1" applyAlignment="1">
      <alignment vertical="center"/>
    </xf>
    <xf numFmtId="0" fontId="0" fillId="37" borderId="13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37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/>
    </xf>
    <xf numFmtId="173" fontId="6" fillId="34" borderId="14" xfId="84" applyNumberFormat="1" applyFont="1" applyFill="1" applyBorder="1" applyAlignment="1">
      <alignment horizontal="center" vertical="center"/>
    </xf>
    <xf numFmtId="173" fontId="6" fillId="34" borderId="14" xfId="84" applyNumberFormat="1" applyFont="1" applyFill="1" applyBorder="1" applyAlignment="1">
      <alignment horizontal="center" vertical="center"/>
    </xf>
    <xf numFmtId="173" fontId="8" fillId="35" borderId="14" xfId="84" applyNumberFormat="1" applyFont="1" applyFill="1" applyBorder="1" applyAlignment="1">
      <alignment vertical="center"/>
    </xf>
    <xf numFmtId="173" fontId="14" fillId="36" borderId="14" xfId="84" applyNumberFormat="1" applyFont="1" applyFill="1" applyBorder="1" applyAlignment="1">
      <alignment horizontal="center" vertical="center"/>
    </xf>
    <xf numFmtId="173" fontId="6" fillId="33" borderId="14" xfId="84" applyNumberFormat="1" applyFont="1" applyFill="1" applyBorder="1" applyAlignment="1">
      <alignment horizontal="center" vertical="center"/>
    </xf>
    <xf numFmtId="173" fontId="7" fillId="35" borderId="10" xfId="84" applyNumberFormat="1" applyFont="1" applyFill="1" applyBorder="1" applyAlignment="1">
      <alignment vertical="center"/>
    </xf>
    <xf numFmtId="0" fontId="13" fillId="37" borderId="13" xfId="0" applyFont="1" applyFill="1" applyBorder="1" applyAlignment="1">
      <alignment horizontal="center" vertical="center"/>
    </xf>
    <xf numFmtId="173" fontId="6" fillId="35" borderId="14" xfId="84" applyNumberFormat="1" applyFont="1" applyFill="1" applyBorder="1" applyAlignment="1">
      <alignment horizontal="center" vertical="center"/>
    </xf>
    <xf numFmtId="173" fontId="8" fillId="36" borderId="14" xfId="84" applyNumberFormat="1" applyFont="1" applyFill="1" applyBorder="1" applyAlignment="1">
      <alignment vertical="center"/>
    </xf>
    <xf numFmtId="173" fontId="6" fillId="33" borderId="15" xfId="84" applyNumberFormat="1" applyFont="1" applyFill="1" applyBorder="1" applyAlignment="1">
      <alignment horizontal="center"/>
    </xf>
    <xf numFmtId="173" fontId="1" fillId="34" borderId="10" xfId="84" applyNumberFormat="1" applyFont="1" applyFill="1" applyBorder="1" applyAlignment="1">
      <alignment vertical="center"/>
    </xf>
    <xf numFmtId="173" fontId="1" fillId="35" borderId="10" xfId="84" applyNumberFormat="1" applyFont="1" applyFill="1" applyBorder="1" applyAlignment="1">
      <alignment vertical="center"/>
    </xf>
    <xf numFmtId="173" fontId="1" fillId="36" borderId="10" xfId="84" applyNumberFormat="1" applyFont="1" applyFill="1" applyBorder="1" applyAlignment="1">
      <alignment vertical="center"/>
    </xf>
    <xf numFmtId="173" fontId="3" fillId="36" borderId="10" xfId="84" applyNumberFormat="1" applyFont="1" applyFill="1" applyBorder="1" applyAlignment="1">
      <alignment vertical="center"/>
    </xf>
    <xf numFmtId="173" fontId="3" fillId="34" borderId="10" xfId="84" applyNumberFormat="1" applyFont="1" applyFill="1" applyBorder="1" applyAlignment="1">
      <alignment vertical="center"/>
    </xf>
    <xf numFmtId="0" fontId="13" fillId="37" borderId="13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173" fontId="0" fillId="0" borderId="0" xfId="84" applyNumberFormat="1" applyFont="1" applyAlignment="1">
      <alignment/>
    </xf>
    <xf numFmtId="0" fontId="9" fillId="35" borderId="16" xfId="0" applyFont="1" applyFill="1" applyBorder="1" applyAlignment="1">
      <alignment horizontal="center" vertical="center" wrapText="1"/>
    </xf>
    <xf numFmtId="0" fontId="0" fillId="0" borderId="0" xfId="84" applyNumberFormat="1" applyFont="1" applyAlignment="1">
      <alignment/>
    </xf>
    <xf numFmtId="0" fontId="3" fillId="34" borderId="17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8" fillId="36" borderId="21" xfId="0" applyFont="1" applyFill="1" applyBorder="1" applyAlignment="1">
      <alignment horizontal="left" vertical="center" wrapText="1"/>
    </xf>
    <xf numFmtId="173" fontId="3" fillId="35" borderId="10" xfId="84" applyNumberFormat="1" applyFont="1" applyFill="1" applyBorder="1" applyAlignment="1">
      <alignment vertical="center" wrapText="1"/>
    </xf>
    <xf numFmtId="173" fontId="3" fillId="36" borderId="10" xfId="84" applyNumberFormat="1" applyFont="1" applyFill="1" applyBorder="1" applyAlignment="1">
      <alignment horizontal="left" vertical="center" wrapText="1"/>
    </xf>
    <xf numFmtId="173" fontId="3" fillId="35" borderId="21" xfId="84" applyNumberFormat="1" applyFont="1" applyFill="1" applyBorder="1" applyAlignment="1">
      <alignment vertical="center" wrapText="1"/>
    </xf>
    <xf numFmtId="173" fontId="10" fillId="36" borderId="21" xfId="84" applyNumberFormat="1" applyFont="1" applyFill="1" applyBorder="1" applyAlignment="1">
      <alignment vertical="center" wrapText="1"/>
    </xf>
    <xf numFmtId="173" fontId="7" fillId="34" borderId="17" xfId="84" applyNumberFormat="1" applyFont="1" applyFill="1" applyBorder="1" applyAlignment="1">
      <alignment horizontal="center" vertical="center" wrapText="1"/>
    </xf>
    <xf numFmtId="173" fontId="7" fillId="34" borderId="22" xfId="84" applyNumberFormat="1" applyFont="1" applyFill="1" applyBorder="1" applyAlignment="1">
      <alignment horizontal="center" vertical="center" wrapText="1"/>
    </xf>
    <xf numFmtId="173" fontId="9" fillId="36" borderId="23" xfId="84" applyNumberFormat="1" applyFont="1" applyFill="1" applyBorder="1" applyAlignment="1">
      <alignment horizontal="center" vertical="center" wrapText="1"/>
    </xf>
    <xf numFmtId="173" fontId="7" fillId="33" borderId="17" xfId="84" applyNumberFormat="1" applyFont="1" applyFill="1" applyBorder="1" applyAlignment="1">
      <alignment horizontal="center" vertical="center" wrapText="1"/>
    </xf>
    <xf numFmtId="173" fontId="7" fillId="37" borderId="24" xfId="84" applyNumberFormat="1" applyFont="1" applyFill="1" applyBorder="1" applyAlignment="1">
      <alignment horizontal="center" vertical="center" wrapText="1"/>
    </xf>
    <xf numFmtId="4" fontId="5" fillId="33" borderId="10" xfId="84" applyNumberFormat="1" applyFont="1" applyFill="1" applyBorder="1" applyAlignment="1">
      <alignment horizontal="right"/>
    </xf>
    <xf numFmtId="2" fontId="13" fillId="37" borderId="14" xfId="0" applyNumberFormat="1" applyFont="1" applyFill="1" applyBorder="1" applyAlignment="1">
      <alignment horizontal="center" vertical="center"/>
    </xf>
    <xf numFmtId="2" fontId="6" fillId="34" borderId="14" xfId="84" applyNumberFormat="1" applyFont="1" applyFill="1" applyBorder="1" applyAlignment="1">
      <alignment horizontal="center" vertical="center"/>
    </xf>
    <xf numFmtId="2" fontId="6" fillId="34" borderId="14" xfId="84" applyNumberFormat="1" applyFont="1" applyFill="1" applyBorder="1" applyAlignment="1">
      <alignment horizontal="center" vertical="center"/>
    </xf>
    <xf numFmtId="2" fontId="6" fillId="35" borderId="14" xfId="84" applyNumberFormat="1" applyFont="1" applyFill="1" applyBorder="1" applyAlignment="1">
      <alignment horizontal="center" vertical="center"/>
    </xf>
    <xf numFmtId="2" fontId="8" fillId="35" borderId="14" xfId="84" applyNumberFormat="1" applyFont="1" applyFill="1" applyBorder="1" applyAlignment="1">
      <alignment vertical="center"/>
    </xf>
    <xf numFmtId="2" fontId="6" fillId="36" borderId="10" xfId="84" applyNumberFormat="1" applyFont="1" applyFill="1" applyBorder="1" applyAlignment="1">
      <alignment horizontal="center" vertical="center"/>
    </xf>
    <xf numFmtId="2" fontId="14" fillId="36" borderId="14" xfId="84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vertical="center"/>
    </xf>
    <xf numFmtId="2" fontId="7" fillId="35" borderId="10" xfId="84" applyNumberFormat="1" applyFont="1" applyFill="1" applyBorder="1" applyAlignment="1">
      <alignment vertical="center"/>
    </xf>
    <xf numFmtId="2" fontId="13" fillId="37" borderId="13" xfId="0" applyNumberFormat="1" applyFont="1" applyFill="1" applyBorder="1" applyAlignment="1">
      <alignment horizontal="center" vertical="center"/>
    </xf>
    <xf numFmtId="2" fontId="7" fillId="33" borderId="15" xfId="84" applyNumberFormat="1" applyFont="1" applyFill="1" applyBorder="1" applyAlignment="1">
      <alignment horizontal="center" vertical="center" wrapText="1"/>
    </xf>
    <xf numFmtId="2" fontId="1" fillId="34" borderId="10" xfId="84" applyNumberFormat="1" applyFont="1" applyFill="1" applyBorder="1" applyAlignment="1">
      <alignment horizontal="center" vertical="center" wrapText="1"/>
    </xf>
    <xf numFmtId="2" fontId="1" fillId="35" borderId="10" xfId="84" applyNumberFormat="1" applyFont="1" applyFill="1" applyBorder="1" applyAlignment="1">
      <alignment horizontal="center" vertical="center" wrapText="1"/>
    </xf>
    <xf numFmtId="2" fontId="1" fillId="36" borderId="10" xfId="84" applyNumberFormat="1" applyFont="1" applyFill="1" applyBorder="1" applyAlignment="1">
      <alignment horizontal="center" vertical="center" wrapText="1"/>
    </xf>
    <xf numFmtId="2" fontId="20" fillId="36" borderId="10" xfId="84" applyNumberFormat="1" applyFont="1" applyFill="1" applyBorder="1" applyAlignment="1">
      <alignment horizontal="center" vertical="center"/>
    </xf>
    <xf numFmtId="2" fontId="20" fillId="34" borderId="10" xfId="84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170" fontId="7" fillId="34" borderId="18" xfId="84" applyNumberFormat="1" applyFont="1" applyFill="1" applyBorder="1" applyAlignment="1">
      <alignment horizontal="center" vertical="center" wrapText="1"/>
    </xf>
    <xf numFmtId="170" fontId="7" fillId="34" borderId="10" xfId="84" applyNumberFormat="1" applyFont="1" applyFill="1" applyBorder="1" applyAlignment="1">
      <alignment horizontal="center" vertical="center" wrapText="1"/>
    </xf>
    <xf numFmtId="170" fontId="7" fillId="34" borderId="21" xfId="84" applyNumberFormat="1" applyFont="1" applyFill="1" applyBorder="1" applyAlignment="1">
      <alignment horizontal="center" vertical="center" wrapText="1"/>
    </xf>
    <xf numFmtId="170" fontId="7" fillId="34" borderId="18" xfId="84" applyNumberFormat="1" applyFont="1" applyFill="1" applyBorder="1" applyAlignment="1">
      <alignment vertical="center" wrapText="1"/>
    </xf>
    <xf numFmtId="170" fontId="5" fillId="34" borderId="21" xfId="84" applyNumberFormat="1" applyFont="1" applyFill="1" applyBorder="1" applyAlignment="1">
      <alignment vertical="center" wrapText="1"/>
    </xf>
    <xf numFmtId="170" fontId="7" fillId="35" borderId="18" xfId="0" applyNumberFormat="1" applyFont="1" applyFill="1" applyBorder="1" applyAlignment="1">
      <alignment horizontal="center" vertical="center" wrapText="1"/>
    </xf>
    <xf numFmtId="170" fontId="7" fillId="35" borderId="10" xfId="84" applyNumberFormat="1" applyFont="1" applyFill="1" applyBorder="1" applyAlignment="1">
      <alignment vertical="center" wrapText="1"/>
    </xf>
    <xf numFmtId="170" fontId="7" fillId="35" borderId="10" xfId="84" applyNumberFormat="1" applyFont="1" applyFill="1" applyBorder="1" applyAlignment="1">
      <alignment horizontal="center" vertical="center" wrapText="1"/>
    </xf>
    <xf numFmtId="170" fontId="7" fillId="35" borderId="21" xfId="84" applyNumberFormat="1" applyFont="1" applyFill="1" applyBorder="1" applyAlignment="1">
      <alignment horizontal="center" vertical="center" wrapText="1"/>
    </xf>
    <xf numFmtId="170" fontId="7" fillId="35" borderId="18" xfId="84" applyNumberFormat="1" applyFont="1" applyFill="1" applyBorder="1" applyAlignment="1">
      <alignment vertical="center" wrapText="1"/>
    </xf>
    <xf numFmtId="170" fontId="5" fillId="35" borderId="21" xfId="84" applyNumberFormat="1" applyFont="1" applyFill="1" applyBorder="1" applyAlignment="1">
      <alignment vertical="center" wrapText="1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 wrapText="1"/>
    </xf>
    <xf numFmtId="4" fontId="23" fillId="31" borderId="10" xfId="0" applyNumberFormat="1" applyFont="1" applyFill="1" applyBorder="1" applyAlignment="1" applyProtection="1">
      <alignment vertical="center"/>
      <protection hidden="1" locked="0"/>
    </xf>
    <xf numFmtId="0" fontId="23" fillId="31" borderId="10" xfId="0" applyNumberFormat="1" applyFont="1" applyFill="1" applyBorder="1" applyAlignment="1" applyProtection="1">
      <alignment vertical="center"/>
      <protection hidden="1" locked="0"/>
    </xf>
    <xf numFmtId="3" fontId="23" fillId="31" borderId="12" xfId="0" applyNumberFormat="1" applyFont="1" applyFill="1" applyBorder="1" applyAlignment="1" applyProtection="1">
      <alignment vertical="center"/>
      <protection hidden="1" locked="0"/>
    </xf>
    <xf numFmtId="4" fontId="23" fillId="31" borderId="12" xfId="0" applyNumberFormat="1" applyFont="1" applyFill="1" applyBorder="1" applyAlignment="1" applyProtection="1">
      <alignment vertical="center"/>
      <protection hidden="1" locked="0"/>
    </xf>
    <xf numFmtId="0" fontId="3" fillId="34" borderId="28" xfId="0" applyFont="1" applyFill="1" applyBorder="1" applyAlignment="1">
      <alignment horizontal="left" vertical="center" wrapText="1"/>
    </xf>
    <xf numFmtId="170" fontId="7" fillId="34" borderId="13" xfId="84" applyNumberFormat="1" applyFont="1" applyFill="1" applyBorder="1" applyAlignment="1">
      <alignment horizontal="center" vertical="center" wrapText="1"/>
    </xf>
    <xf numFmtId="173" fontId="3" fillId="35" borderId="13" xfId="84" applyNumberFormat="1" applyFont="1" applyFill="1" applyBorder="1" applyAlignment="1">
      <alignment vertical="center" wrapText="1"/>
    </xf>
    <xf numFmtId="170" fontId="7" fillId="35" borderId="13" xfId="84" applyNumberFormat="1" applyFont="1" applyFill="1" applyBorder="1" applyAlignment="1">
      <alignment horizontal="center" vertical="center" wrapText="1"/>
    </xf>
    <xf numFmtId="173" fontId="10" fillId="36" borderId="13" xfId="84" applyNumberFormat="1" applyFont="1" applyFill="1" applyBorder="1" applyAlignment="1">
      <alignment vertical="center" wrapText="1"/>
    </xf>
    <xf numFmtId="0" fontId="22" fillId="35" borderId="0" xfId="0" applyFont="1" applyFill="1" applyBorder="1" applyAlignment="1" applyProtection="1">
      <alignment horizontal="center" vertical="center"/>
      <protection hidden="1"/>
    </xf>
    <xf numFmtId="173" fontId="7" fillId="33" borderId="29" xfId="84" applyNumberFormat="1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/>
    </xf>
    <xf numFmtId="2" fontId="21" fillId="38" borderId="10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25" fillId="38" borderId="10" xfId="0" applyFont="1" applyFill="1" applyBorder="1" applyAlignment="1">
      <alignment/>
    </xf>
    <xf numFmtId="0" fontId="9" fillId="35" borderId="29" xfId="0" applyFont="1" applyFill="1" applyBorder="1" applyAlignment="1">
      <alignment horizontal="center" vertical="center" wrapText="1"/>
    </xf>
    <xf numFmtId="173" fontId="9" fillId="36" borderId="31" xfId="84" applyNumberFormat="1" applyFont="1" applyFill="1" applyBorder="1" applyAlignment="1">
      <alignment horizontal="center" vertical="center" wrapText="1"/>
    </xf>
    <xf numFmtId="195" fontId="1" fillId="33" borderId="10" xfId="84" applyNumberFormat="1" applyFont="1" applyFill="1" applyBorder="1" applyAlignment="1">
      <alignment horizontal="right" vertical="center"/>
    </xf>
    <xf numFmtId="173" fontId="9" fillId="0" borderId="0" xfId="84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4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2" fontId="110" fillId="38" borderId="32" xfId="77" applyNumberFormat="1" applyFont="1" applyFill="1" applyBorder="1" applyAlignment="1">
      <alignment horizontal="center" vertical="center" wrapText="1"/>
      <protection/>
    </xf>
    <xf numFmtId="2" fontId="111" fillId="36" borderId="33" xfId="77" applyNumberFormat="1" applyFont="1" applyFill="1" applyBorder="1" applyAlignment="1">
      <alignment horizontal="center" vertical="center" wrapText="1"/>
      <protection/>
    </xf>
    <xf numFmtId="2" fontId="112" fillId="38" borderId="34" xfId="77" applyNumberFormat="1" applyFont="1" applyFill="1" applyBorder="1" applyAlignment="1">
      <alignment horizontal="center" wrapText="1"/>
      <protection/>
    </xf>
    <xf numFmtId="0" fontId="112" fillId="38" borderId="35" xfId="77" applyFont="1" applyFill="1" applyBorder="1" applyAlignment="1">
      <alignment horizontal="center" vertical="center" wrapText="1"/>
      <protection/>
    </xf>
    <xf numFmtId="0" fontId="112" fillId="38" borderId="32" xfId="77" applyFont="1" applyFill="1" applyBorder="1" applyAlignment="1">
      <alignment horizontal="center" vertical="center" wrapText="1"/>
      <protection/>
    </xf>
    <xf numFmtId="170" fontId="7" fillId="36" borderId="22" xfId="0" applyNumberFormat="1" applyFont="1" applyFill="1" applyBorder="1" applyAlignment="1">
      <alignment horizontal="center" vertical="center" wrapText="1"/>
    </xf>
    <xf numFmtId="170" fontId="7" fillId="36" borderId="11" xfId="84" applyNumberFormat="1" applyFont="1" applyFill="1" applyBorder="1" applyAlignment="1">
      <alignment horizontal="center" vertical="center" wrapText="1"/>
    </xf>
    <xf numFmtId="170" fontId="7" fillId="36" borderId="11" xfId="84" applyNumberFormat="1" applyFont="1" applyFill="1" applyBorder="1" applyAlignment="1">
      <alignment vertical="center" wrapText="1"/>
    </xf>
    <xf numFmtId="170" fontId="7" fillId="36" borderId="36" xfId="84" applyNumberFormat="1" applyFont="1" applyFill="1" applyBorder="1" applyAlignment="1">
      <alignment vertical="center" wrapText="1"/>
    </xf>
    <xf numFmtId="170" fontId="7" fillId="36" borderId="37" xfId="84" applyNumberFormat="1" applyFont="1" applyFill="1" applyBorder="1" applyAlignment="1">
      <alignment vertical="center" wrapText="1"/>
    </xf>
    <xf numFmtId="170" fontId="7" fillId="36" borderId="22" xfId="84" applyNumberFormat="1" applyFont="1" applyFill="1" applyBorder="1" applyAlignment="1">
      <alignment vertical="center" wrapText="1"/>
    </xf>
    <xf numFmtId="170" fontId="5" fillId="36" borderId="36" xfId="84" applyNumberFormat="1" applyFont="1" applyFill="1" applyBorder="1" applyAlignment="1">
      <alignment vertical="center" wrapText="1"/>
    </xf>
    <xf numFmtId="173" fontId="1" fillId="39" borderId="10" xfId="84" applyNumberFormat="1" applyFont="1" applyFill="1" applyBorder="1" applyAlignment="1">
      <alignment/>
    </xf>
    <xf numFmtId="195" fontId="1" fillId="39" borderId="10" xfId="84" applyNumberFormat="1" applyFont="1" applyFill="1" applyBorder="1" applyAlignment="1">
      <alignment/>
    </xf>
    <xf numFmtId="173" fontId="7" fillId="40" borderId="10" xfId="84" applyNumberFormat="1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2" fontId="107" fillId="2" borderId="10" xfId="79" applyNumberFormat="1" applyFont="1" applyFill="1" applyBorder="1" applyProtection="1">
      <alignment/>
      <protection locked="0"/>
    </xf>
    <xf numFmtId="2" fontId="7" fillId="2" borderId="15" xfId="77" applyNumberFormat="1" applyFont="1" applyFill="1" applyBorder="1" applyAlignment="1" applyProtection="1">
      <alignment/>
      <protection locked="0"/>
    </xf>
    <xf numFmtId="2" fontId="113" fillId="2" borderId="10" xfId="79" applyNumberFormat="1" applyFont="1" applyFill="1" applyBorder="1" applyProtection="1">
      <alignment/>
      <protection locked="0"/>
    </xf>
    <xf numFmtId="2" fontId="7" fillId="40" borderId="10" xfId="77" applyNumberFormat="1" applyFont="1" applyFill="1" applyBorder="1" applyAlignment="1">
      <alignment horizontal="center"/>
      <protection/>
    </xf>
    <xf numFmtId="4" fontId="31" fillId="40" borderId="10" xfId="77" applyNumberFormat="1" applyFont="1" applyFill="1" applyBorder="1" applyAlignment="1">
      <alignment horizontal="center"/>
      <protection/>
    </xf>
    <xf numFmtId="0" fontId="1" fillId="40" borderId="10" xfId="0" applyFont="1" applyFill="1" applyBorder="1" applyAlignment="1">
      <alignment/>
    </xf>
    <xf numFmtId="0" fontId="32" fillId="0" borderId="10" xfId="77" applyFont="1" applyBorder="1" applyAlignment="1">
      <alignment horizontal="center" vertical="center"/>
      <protection/>
    </xf>
    <xf numFmtId="0" fontId="29" fillId="0" borderId="10" xfId="77" applyBorder="1">
      <alignment/>
      <protection/>
    </xf>
    <xf numFmtId="0" fontId="29" fillId="0" borderId="10" xfId="77" applyBorder="1" applyAlignment="1">
      <alignment horizontal="center"/>
      <protection/>
    </xf>
    <xf numFmtId="2" fontId="29" fillId="0" borderId="10" xfId="77" applyNumberFormat="1" applyBorder="1" applyAlignment="1">
      <alignment horizontal="center"/>
      <protection/>
    </xf>
    <xf numFmtId="0" fontId="32" fillId="0" borderId="0" xfId="77" applyFont="1" applyBorder="1">
      <alignment/>
      <protection/>
    </xf>
    <xf numFmtId="0" fontId="29" fillId="0" borderId="31" xfId="77" applyBorder="1">
      <alignment/>
      <protection/>
    </xf>
    <xf numFmtId="0" fontId="32" fillId="0" borderId="31" xfId="77" applyFont="1" applyBorder="1">
      <alignment/>
      <protection/>
    </xf>
    <xf numFmtId="0" fontId="32" fillId="0" borderId="38" xfId="77" applyFont="1" applyBorder="1">
      <alignment/>
      <protection/>
    </xf>
    <xf numFmtId="0" fontId="29" fillId="0" borderId="10" xfId="77" applyBorder="1" applyAlignment="1" applyProtection="1">
      <alignment horizontal="center"/>
      <protection locked="0"/>
    </xf>
    <xf numFmtId="0" fontId="29" fillId="0" borderId="29" xfId="77" applyBorder="1" applyAlignment="1" applyProtection="1">
      <alignment/>
      <protection locked="0"/>
    </xf>
    <xf numFmtId="0" fontId="29" fillId="0" borderId="0" xfId="77" applyBorder="1" applyAlignment="1" applyProtection="1">
      <alignment/>
      <protection locked="0"/>
    </xf>
    <xf numFmtId="0" fontId="29" fillId="0" borderId="0" xfId="77" applyBorder="1" applyProtection="1">
      <alignment/>
      <protection locked="0"/>
    </xf>
    <xf numFmtId="0" fontId="33" fillId="0" borderId="10" xfId="77" applyFont="1" applyBorder="1" applyAlignment="1" applyProtection="1">
      <alignment horizontal="center"/>
      <protection locked="0"/>
    </xf>
    <xf numFmtId="0" fontId="29" fillId="0" borderId="31" xfId="77" applyBorder="1" applyProtection="1">
      <alignment/>
      <protection locked="0"/>
    </xf>
    <xf numFmtId="0" fontId="29" fillId="0" borderId="10" xfId="77" applyBorder="1" applyProtection="1">
      <alignment/>
      <protection locked="0"/>
    </xf>
    <xf numFmtId="0" fontId="32" fillId="0" borderId="0" xfId="77" applyFont="1" applyBorder="1" applyProtection="1">
      <alignment/>
      <protection locked="0"/>
    </xf>
    <xf numFmtId="0" fontId="32" fillId="0" borderId="31" xfId="77" applyFont="1" applyBorder="1" applyProtection="1">
      <alignment/>
      <protection locked="0"/>
    </xf>
    <xf numFmtId="0" fontId="34" fillId="0" borderId="0" xfId="77" applyFont="1" applyBorder="1" applyAlignment="1" applyProtection="1">
      <alignment horizontal="center"/>
      <protection locked="0"/>
    </xf>
    <xf numFmtId="0" fontId="32" fillId="0" borderId="0" xfId="77" applyFont="1" applyBorder="1" applyAlignment="1" applyProtection="1">
      <alignment/>
      <protection locked="0"/>
    </xf>
    <xf numFmtId="0" fontId="32" fillId="0" borderId="0" xfId="77" applyFont="1" applyBorder="1" applyAlignment="1" applyProtection="1">
      <alignment horizontal="center"/>
      <protection locked="0"/>
    </xf>
    <xf numFmtId="0" fontId="32" fillId="0" borderId="39" xfId="77" applyFont="1" applyBorder="1" applyProtection="1">
      <alignment/>
      <protection locked="0"/>
    </xf>
    <xf numFmtId="0" fontId="35" fillId="0" borderId="0" xfId="77" applyFont="1" applyBorder="1" applyAlignment="1" applyProtection="1">
      <alignment/>
      <protection locked="0"/>
    </xf>
    <xf numFmtId="0" fontId="29" fillId="0" borderId="31" xfId="77" applyBorder="1" applyAlignment="1" applyProtection="1">
      <alignment horizontal="center" vertical="center"/>
      <protection locked="0"/>
    </xf>
    <xf numFmtId="0" fontId="32" fillId="0" borderId="10" xfId="77" applyFont="1" applyBorder="1" applyAlignment="1" applyProtection="1">
      <alignment horizontal="center" vertical="center"/>
      <protection locked="0"/>
    </xf>
    <xf numFmtId="0" fontId="29" fillId="0" borderId="0" xfId="77" applyBorder="1" applyAlignment="1" applyProtection="1">
      <alignment horizontal="center"/>
      <protection locked="0"/>
    </xf>
    <xf numFmtId="0" fontId="1" fillId="0" borderId="0" xfId="77" applyFont="1" applyBorder="1" applyProtection="1">
      <alignment/>
      <protection locked="0"/>
    </xf>
    <xf numFmtId="0" fontId="32" fillId="0" borderId="0" xfId="77" applyFont="1" applyBorder="1" applyAlignment="1" applyProtection="1">
      <alignment horizontal="left" indent="7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 horizontal="center"/>
    </xf>
    <xf numFmtId="0" fontId="28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9" fillId="42" borderId="25" xfId="0" applyFont="1" applyFill="1" applyBorder="1" applyAlignment="1">
      <alignment horizontal="center"/>
    </xf>
    <xf numFmtId="0" fontId="9" fillId="42" borderId="43" xfId="0" applyFont="1" applyFill="1" applyBorder="1" applyAlignment="1">
      <alignment horizontal="center"/>
    </xf>
    <xf numFmtId="0" fontId="9" fillId="42" borderId="44" xfId="0" applyFont="1" applyFill="1" applyBorder="1" applyAlignment="1">
      <alignment horizontal="center"/>
    </xf>
    <xf numFmtId="44" fontId="21" fillId="42" borderId="0" xfId="0" applyNumberFormat="1" applyFont="1" applyFill="1" applyAlignment="1">
      <alignment horizontal="center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44" xfId="0" applyFont="1" applyFill="1" applyBorder="1" applyAlignment="1" applyProtection="1">
      <alignment horizontal="center"/>
      <protection locked="0"/>
    </xf>
    <xf numFmtId="0" fontId="1" fillId="13" borderId="25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1" fillId="13" borderId="44" xfId="0" applyFont="1" applyFill="1" applyBorder="1" applyAlignment="1">
      <alignment horizontal="center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2" fontId="1" fillId="2" borderId="44" xfId="0" applyNumberFormat="1" applyFont="1" applyFill="1" applyBorder="1" applyAlignment="1" applyProtection="1">
      <alignment horizontal="center"/>
      <protection locked="0"/>
    </xf>
    <xf numFmtId="0" fontId="1" fillId="2" borderId="43" xfId="0" applyFont="1" applyFill="1" applyBorder="1" applyAlignment="1" applyProtection="1">
      <alignment horizontal="center"/>
      <protection locked="0"/>
    </xf>
    <xf numFmtId="0" fontId="34" fillId="0" borderId="0" xfId="77" applyFont="1" applyBorder="1" applyAlignment="1" applyProtection="1">
      <alignment horizontal="center" vertical="center"/>
      <protection locked="0"/>
    </xf>
    <xf numFmtId="0" fontId="32" fillId="0" borderId="0" xfId="77" applyFont="1" applyBorder="1" applyAlignment="1" applyProtection="1">
      <alignment horizontal="center"/>
      <protection locked="0"/>
    </xf>
    <xf numFmtId="0" fontId="29" fillId="0" borderId="0" xfId="77" applyBorder="1" applyAlignment="1" applyProtection="1">
      <alignment horizontal="center"/>
      <protection locked="0"/>
    </xf>
    <xf numFmtId="0" fontId="32" fillId="0" borderId="10" xfId="77" applyFont="1" applyBorder="1" applyAlignment="1">
      <alignment horizontal="center"/>
      <protection/>
    </xf>
    <xf numFmtId="0" fontId="29" fillId="0" borderId="10" xfId="77" applyBorder="1" applyAlignment="1">
      <alignment/>
      <protection/>
    </xf>
    <xf numFmtId="0" fontId="29" fillId="0" borderId="10" xfId="77" applyBorder="1" applyAlignment="1">
      <alignment horizontal="left"/>
      <protection/>
    </xf>
    <xf numFmtId="0" fontId="1" fillId="0" borderId="29" xfId="77" applyFont="1" applyBorder="1" applyAlignment="1" applyProtection="1">
      <alignment horizontal="center" vertical="center" wrapText="1"/>
      <protection locked="0"/>
    </xf>
    <xf numFmtId="0" fontId="1" fillId="0" borderId="29" xfId="77" applyFont="1" applyBorder="1" applyAlignment="1" applyProtection="1">
      <alignment horizontal="center" vertical="center"/>
      <protection locked="0"/>
    </xf>
    <xf numFmtId="0" fontId="1" fillId="0" borderId="23" xfId="77" applyFont="1" applyBorder="1" applyAlignment="1" applyProtection="1">
      <alignment horizontal="center" vertical="center"/>
      <protection locked="0"/>
    </xf>
    <xf numFmtId="0" fontId="1" fillId="0" borderId="0" xfId="77" applyFont="1" applyBorder="1" applyAlignment="1" applyProtection="1">
      <alignment horizontal="center" vertical="center"/>
      <protection locked="0"/>
    </xf>
    <xf numFmtId="0" fontId="1" fillId="0" borderId="31" xfId="77" applyFont="1" applyBorder="1" applyAlignment="1" applyProtection="1">
      <alignment horizontal="center" vertical="center"/>
      <protection locked="0"/>
    </xf>
    <xf numFmtId="0" fontId="32" fillId="0" borderId="10" xfId="77" applyFont="1" applyBorder="1" applyAlignment="1" applyProtection="1">
      <alignment horizontal="center"/>
      <protection locked="0"/>
    </xf>
    <xf numFmtId="0" fontId="33" fillId="0" borderId="10" xfId="77" applyFont="1" applyBorder="1" applyAlignment="1" applyProtection="1">
      <alignment horizontal="center"/>
      <protection locked="0"/>
    </xf>
    <xf numFmtId="0" fontId="29" fillId="0" borderId="10" xfId="77" applyBorder="1" applyAlignment="1" applyProtection="1">
      <alignment/>
      <protection locked="0"/>
    </xf>
    <xf numFmtId="0" fontId="32" fillId="0" borderId="0" xfId="77" applyFont="1" applyBorder="1" applyAlignment="1" applyProtection="1">
      <alignment horizontal="center" vertical="center"/>
      <protection locked="0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23" fillId="31" borderId="46" xfId="0" applyFont="1" applyFill="1" applyBorder="1" applyAlignment="1">
      <alignment horizontal="center" vertical="center"/>
    </xf>
    <xf numFmtId="0" fontId="23" fillId="31" borderId="47" xfId="0" applyFont="1" applyFill="1" applyBorder="1" applyAlignment="1">
      <alignment horizontal="center" vertical="center"/>
    </xf>
    <xf numFmtId="0" fontId="23" fillId="31" borderId="48" xfId="0" applyFont="1" applyFill="1" applyBorder="1" applyAlignment="1">
      <alignment horizontal="center" vertical="center"/>
    </xf>
    <xf numFmtId="0" fontId="24" fillId="31" borderId="19" xfId="0" applyFont="1" applyFill="1" applyBorder="1" applyAlignment="1">
      <alignment horizontal="left" vertical="center"/>
    </xf>
    <xf numFmtId="0" fontId="24" fillId="31" borderId="10" xfId="0" applyFont="1" applyFill="1" applyBorder="1" applyAlignment="1">
      <alignment horizontal="left" vertical="center"/>
    </xf>
    <xf numFmtId="0" fontId="24" fillId="31" borderId="49" xfId="0" applyFont="1" applyFill="1" applyBorder="1" applyAlignment="1">
      <alignment horizontal="left" vertical="center"/>
    </xf>
    <xf numFmtId="0" fontId="24" fillId="31" borderId="12" xfId="0" applyFont="1" applyFill="1" applyBorder="1" applyAlignment="1">
      <alignment horizontal="left" vertical="center"/>
    </xf>
    <xf numFmtId="0" fontId="11" fillId="31" borderId="29" xfId="0" applyFont="1" applyFill="1" applyBorder="1" applyAlignment="1">
      <alignment horizontal="center" vertical="center" wrapText="1"/>
    </xf>
    <xf numFmtId="0" fontId="11" fillId="31" borderId="0" xfId="0" applyFont="1" applyFill="1" applyBorder="1" applyAlignment="1">
      <alignment horizontal="center" vertical="center" wrapText="1"/>
    </xf>
    <xf numFmtId="0" fontId="11" fillId="31" borderId="39" xfId="0" applyFont="1" applyFill="1" applyBorder="1" applyAlignment="1">
      <alignment horizontal="center" vertical="center" wrapText="1"/>
    </xf>
    <xf numFmtId="44" fontId="26" fillId="36" borderId="30" xfId="0" applyNumberFormat="1" applyFont="1" applyFill="1" applyBorder="1" applyAlignment="1" applyProtection="1">
      <alignment horizontal="center" vertical="center"/>
      <protection hidden="1"/>
    </xf>
    <xf numFmtId="44" fontId="26" fillId="36" borderId="0" xfId="0" applyNumberFormat="1" applyFont="1" applyFill="1" applyBorder="1" applyAlignment="1" applyProtection="1">
      <alignment horizontal="center" vertical="center"/>
      <protection hidden="1"/>
    </xf>
    <xf numFmtId="44" fontId="26" fillId="36" borderId="50" xfId="0" applyNumberFormat="1" applyFont="1" applyFill="1" applyBorder="1" applyAlignment="1" applyProtection="1">
      <alignment horizontal="center" vertical="center"/>
      <protection hidden="1"/>
    </xf>
    <xf numFmtId="44" fontId="26" fillId="33" borderId="51" xfId="84" applyNumberFormat="1" applyFont="1" applyFill="1" applyBorder="1" applyAlignment="1" applyProtection="1">
      <alignment horizontal="center" vertical="center"/>
      <protection hidden="1"/>
    </xf>
    <xf numFmtId="44" fontId="26" fillId="33" borderId="52" xfId="84" applyNumberFormat="1" applyFont="1" applyFill="1" applyBorder="1" applyAlignment="1" applyProtection="1">
      <alignment horizontal="center" vertical="center"/>
      <protection hidden="1"/>
    </xf>
    <xf numFmtId="0" fontId="26" fillId="35" borderId="53" xfId="0" applyFont="1" applyFill="1" applyBorder="1" applyAlignment="1" applyProtection="1">
      <alignment horizontal="center" vertical="center"/>
      <protection hidden="1"/>
    </xf>
    <xf numFmtId="0" fontId="26" fillId="35" borderId="41" xfId="0" applyFont="1" applyFill="1" applyBorder="1" applyAlignment="1" applyProtection="1">
      <alignment horizontal="center" vertical="center"/>
      <protection hidden="1"/>
    </xf>
    <xf numFmtId="44" fontId="26" fillId="37" borderId="54" xfId="84" applyNumberFormat="1" applyFont="1" applyFill="1" applyBorder="1" applyAlignment="1" applyProtection="1">
      <alignment horizontal="center" vertical="center"/>
      <protection hidden="1"/>
    </xf>
    <xf numFmtId="44" fontId="26" fillId="37" borderId="55" xfId="84" applyNumberFormat="1" applyFont="1" applyFill="1" applyBorder="1" applyAlignment="1" applyProtection="1">
      <alignment horizontal="center" vertical="center"/>
      <protection hidden="1"/>
    </xf>
    <xf numFmtId="44" fontId="26" fillId="34" borderId="19" xfId="84" applyNumberFormat="1" applyFont="1" applyFill="1" applyBorder="1" applyAlignment="1" applyProtection="1">
      <alignment horizontal="center" vertical="center"/>
      <protection hidden="1"/>
    </xf>
    <xf numFmtId="44" fontId="26" fillId="34" borderId="11" xfId="84" applyNumberFormat="1" applyFont="1" applyFill="1" applyBorder="1" applyAlignment="1" applyProtection="1">
      <alignment horizontal="center" vertical="center" wrapText="1"/>
      <protection hidden="1"/>
    </xf>
    <xf numFmtId="44" fontId="26" fillId="33" borderId="19" xfId="84" applyNumberFormat="1" applyFont="1" applyFill="1" applyBorder="1" applyAlignment="1" applyProtection="1">
      <alignment horizontal="center" vertical="center"/>
      <protection hidden="1"/>
    </xf>
    <xf numFmtId="173" fontId="12" fillId="36" borderId="12" xfId="84" applyNumberFormat="1" applyFont="1" applyFill="1" applyBorder="1" applyAlignment="1">
      <alignment horizontal="center" vertical="center" wrapText="1"/>
    </xf>
    <xf numFmtId="173" fontId="12" fillId="36" borderId="14" xfId="84" applyNumberFormat="1" applyFont="1" applyFill="1" applyBorder="1" applyAlignment="1">
      <alignment horizontal="center" vertical="center" wrapText="1"/>
    </xf>
    <xf numFmtId="173" fontId="19" fillId="33" borderId="12" xfId="84" applyNumberFormat="1" applyFont="1" applyFill="1" applyBorder="1" applyAlignment="1">
      <alignment horizontal="center" vertical="center" wrapText="1"/>
    </xf>
    <xf numFmtId="173" fontId="19" fillId="33" borderId="14" xfId="84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173" fontId="9" fillId="34" borderId="12" xfId="84" applyNumberFormat="1" applyFont="1" applyFill="1" applyBorder="1" applyAlignment="1">
      <alignment horizontal="center" vertical="center" wrapText="1"/>
    </xf>
    <xf numFmtId="173" fontId="9" fillId="34" borderId="14" xfId="84" applyNumberFormat="1" applyFont="1" applyFill="1" applyBorder="1" applyAlignment="1">
      <alignment horizontal="center" vertical="center" wrapText="1"/>
    </xf>
    <xf numFmtId="173" fontId="18" fillId="35" borderId="12" xfId="84" applyNumberFormat="1" applyFont="1" applyFill="1" applyBorder="1" applyAlignment="1">
      <alignment horizontal="center" vertical="center" wrapText="1"/>
    </xf>
    <xf numFmtId="173" fontId="18" fillId="35" borderId="14" xfId="84" applyNumberFormat="1" applyFont="1" applyFill="1" applyBorder="1" applyAlignment="1">
      <alignment horizontal="center" vertical="center" wrapText="1"/>
    </xf>
    <xf numFmtId="173" fontId="12" fillId="36" borderId="13" xfId="84" applyNumberFormat="1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3" fontId="12" fillId="35" borderId="12" xfId="84" applyNumberFormat="1" applyFont="1" applyFill="1" applyBorder="1" applyAlignment="1">
      <alignment horizontal="center" vertical="center" wrapText="1"/>
    </xf>
    <xf numFmtId="173" fontId="12" fillId="35" borderId="14" xfId="84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59" xfId="0" applyFont="1" applyFill="1" applyBorder="1" applyAlignment="1">
      <alignment horizontal="center" vertical="center"/>
    </xf>
    <xf numFmtId="44" fontId="1" fillId="2" borderId="25" xfId="0" applyNumberFormat="1" applyFont="1" applyFill="1" applyBorder="1" applyAlignment="1" applyProtection="1">
      <alignment horizontal="center"/>
      <protection locked="0"/>
    </xf>
    <xf numFmtId="44" fontId="1" fillId="2" borderId="44" xfId="0" applyNumberFormat="1" applyFont="1" applyFill="1" applyBorder="1" applyAlignment="1" applyProtection="1">
      <alignment horizontal="center"/>
      <protection locked="0"/>
    </xf>
    <xf numFmtId="0" fontId="1" fillId="42" borderId="25" xfId="0" applyFont="1" applyFill="1" applyBorder="1" applyAlignment="1">
      <alignment horizontal="center"/>
    </xf>
    <xf numFmtId="0" fontId="1" fillId="42" borderId="43" xfId="0" applyFont="1" applyFill="1" applyBorder="1" applyAlignment="1">
      <alignment horizontal="center"/>
    </xf>
    <xf numFmtId="0" fontId="1" fillId="42" borderId="44" xfId="0" applyFont="1" applyFill="1" applyBorder="1" applyAlignment="1">
      <alignment horizontal="center"/>
    </xf>
    <xf numFmtId="44" fontId="1" fillId="39" borderId="25" xfId="0" applyNumberFormat="1" applyFont="1" applyFill="1" applyBorder="1" applyAlignment="1">
      <alignment horizontal="center"/>
    </xf>
    <xf numFmtId="44" fontId="1" fillId="39" borderId="44" xfId="0" applyNumberFormat="1" applyFont="1" applyFill="1" applyBorder="1" applyAlignment="1">
      <alignment horizontal="center"/>
    </xf>
    <xf numFmtId="44" fontId="1" fillId="42" borderId="25" xfId="0" applyNumberFormat="1" applyFont="1" applyFill="1" applyBorder="1" applyAlignment="1">
      <alignment horizontal="center"/>
    </xf>
    <xf numFmtId="44" fontId="1" fillId="42" borderId="44" xfId="0" applyNumberFormat="1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9" borderId="43" xfId="0" applyFont="1" applyFill="1" applyBorder="1" applyAlignment="1">
      <alignment horizontal="center"/>
    </xf>
    <xf numFmtId="0" fontId="1" fillId="39" borderId="44" xfId="0" applyFont="1" applyFill="1" applyBorder="1" applyAlignment="1">
      <alignment horizontal="center"/>
    </xf>
    <xf numFmtId="0" fontId="114" fillId="39" borderId="25" xfId="79" applyFont="1" applyFill="1" applyBorder="1" applyAlignment="1">
      <alignment horizontal="center"/>
      <protection/>
    </xf>
    <xf numFmtId="0" fontId="114" fillId="39" borderId="43" xfId="79" applyFont="1" applyFill="1" applyBorder="1" applyAlignment="1">
      <alignment horizontal="center"/>
      <protection/>
    </xf>
    <xf numFmtId="0" fontId="114" fillId="39" borderId="44" xfId="79" applyFont="1" applyFill="1" applyBorder="1" applyAlignment="1">
      <alignment horizontal="center"/>
      <protection/>
    </xf>
    <xf numFmtId="195" fontId="7" fillId="40" borderId="10" xfId="84" applyNumberFormat="1" applyFont="1" applyFill="1" applyBorder="1" applyAlignment="1">
      <alignment/>
    </xf>
  </cellXfs>
  <cellStyles count="9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Bağlı Hücre" xfId="54"/>
    <cellStyle name="Bağlı Hücre 2" xfId="55"/>
    <cellStyle name="Başlık 1" xfId="56"/>
    <cellStyle name="Başlık 1 2" xfId="57"/>
    <cellStyle name="Başlık 2" xfId="58"/>
    <cellStyle name="Başlık 2 2" xfId="59"/>
    <cellStyle name="Başlık 3" xfId="60"/>
    <cellStyle name="Başlık 3 2" xfId="61"/>
    <cellStyle name="Başlık 4" xfId="62"/>
    <cellStyle name="Başlık 4 2" xfId="63"/>
    <cellStyle name="Comma [0]" xfId="64"/>
    <cellStyle name="Çıkış" xfId="65"/>
    <cellStyle name="Çıkış 2" xfId="66"/>
    <cellStyle name="Giriş" xfId="67"/>
    <cellStyle name="Giriş 2" xfId="68"/>
    <cellStyle name="Hesaplama" xfId="69"/>
    <cellStyle name="Hesaplama 2" xfId="70"/>
    <cellStyle name="İşaretli Hücre" xfId="71"/>
    <cellStyle name="İşaretli Hücre 2" xfId="72"/>
    <cellStyle name="İyi" xfId="73"/>
    <cellStyle name="İyi 2" xfId="74"/>
    <cellStyle name="Kötü" xfId="75"/>
    <cellStyle name="Kötü 2" xfId="76"/>
    <cellStyle name="Normal 2" xfId="77"/>
    <cellStyle name="Normal 3" xfId="78"/>
    <cellStyle name="Normal 4" xfId="79"/>
    <cellStyle name="Not" xfId="80"/>
    <cellStyle name="Not 2" xfId="81"/>
    <cellStyle name="Nötr" xfId="82"/>
    <cellStyle name="Nötr 2" xfId="83"/>
    <cellStyle name="Currency" xfId="84"/>
    <cellStyle name="Currency [0]" xfId="85"/>
    <cellStyle name="Toplam" xfId="86"/>
    <cellStyle name="Toplam 2" xfId="87"/>
    <cellStyle name="Uyarı Metni" xfId="88"/>
    <cellStyle name="Uyarı Metni 2" xfId="89"/>
    <cellStyle name="Comma" xfId="90"/>
    <cellStyle name="Vurgu1" xfId="91"/>
    <cellStyle name="Vurgu1 2" xfId="92"/>
    <cellStyle name="Vurgu2" xfId="93"/>
    <cellStyle name="Vurgu2 2" xfId="94"/>
    <cellStyle name="Vurgu3" xfId="95"/>
    <cellStyle name="Vurgu3 2" xfId="96"/>
    <cellStyle name="Vurgu4" xfId="97"/>
    <cellStyle name="Vurgu4 2" xfId="98"/>
    <cellStyle name="Vurgu5" xfId="99"/>
    <cellStyle name="Vurgu5 2" xfId="100"/>
    <cellStyle name="Vurgu6" xfId="101"/>
    <cellStyle name="Vurgu6 2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KONTROL!A1" /><Relationship Id="rId2" Type="http://schemas.openxmlformats.org/officeDocument/2006/relationships/hyperlink" Target="#'B&#304;LG&#304;-BELGE'!A1" /><Relationship Id="rId3" Type="http://schemas.openxmlformats.org/officeDocument/2006/relationships/hyperlink" Target="#TECV&#304;Z!A1" /><Relationship Id="rId4" Type="http://schemas.openxmlformats.org/officeDocument/2006/relationships/hyperlink" Target="#L&#304;HKAP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ANASAYF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ANASAYFA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ANASAYF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ANASAYF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142875</xdr:rowOff>
    </xdr:from>
    <xdr:to>
      <xdr:col>8</xdr:col>
      <xdr:colOff>647700</xdr:colOff>
      <xdr:row>2</xdr:row>
      <xdr:rowOff>19050</xdr:rowOff>
    </xdr:to>
    <xdr:sp>
      <xdr:nvSpPr>
        <xdr:cNvPr id="1" name="Dikdörtgen 1"/>
        <xdr:cNvSpPr>
          <a:spLocks/>
        </xdr:cNvSpPr>
      </xdr:nvSpPr>
      <xdr:spPr>
        <a:xfrm>
          <a:off x="676275" y="142875"/>
          <a:ext cx="5476875" cy="3048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HESAPLAMALAR</a:t>
          </a:r>
        </a:p>
      </xdr:txBody>
    </xdr:sp>
    <xdr:clientData/>
  </xdr:twoCellAnchor>
  <xdr:twoCellAnchor>
    <xdr:from>
      <xdr:col>0</xdr:col>
      <xdr:colOff>676275</xdr:colOff>
      <xdr:row>4</xdr:row>
      <xdr:rowOff>19050</xdr:rowOff>
    </xdr:from>
    <xdr:to>
      <xdr:col>5</xdr:col>
      <xdr:colOff>257175</xdr:colOff>
      <xdr:row>5</xdr:row>
      <xdr:rowOff>85725</xdr:rowOff>
    </xdr:to>
    <xdr:sp>
      <xdr:nvSpPr>
        <xdr:cNvPr id="2" name="Yuvarlatılmış Dikdörtgen 2">
          <a:hlinkClick r:id="rId1"/>
        </xdr:cNvPr>
        <xdr:cNvSpPr>
          <a:spLocks/>
        </xdr:cNvSpPr>
      </xdr:nvSpPr>
      <xdr:spPr>
        <a:xfrm>
          <a:off x="676275" y="771525"/>
          <a:ext cx="3019425" cy="2286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KONTROLLÜK HESABI (DÖNER SERMAYE)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276225</xdr:colOff>
      <xdr:row>8</xdr:row>
      <xdr:rowOff>66675</xdr:rowOff>
    </xdr:to>
    <xdr:sp>
      <xdr:nvSpPr>
        <xdr:cNvPr id="3" name="Yuvarlatılmış Dikdörtgen 3">
          <a:hlinkClick r:id="rId2"/>
        </xdr:cNvPr>
        <xdr:cNvSpPr>
          <a:spLocks/>
        </xdr:cNvSpPr>
      </xdr:nvSpPr>
      <xdr:spPr>
        <a:xfrm>
          <a:off x="685800" y="1238250"/>
          <a:ext cx="3028950" cy="2286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BİLGİ VE BELGE (DÖNER SERMAYE)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276225</xdr:colOff>
      <xdr:row>14</xdr:row>
      <xdr:rowOff>66675</xdr:rowOff>
    </xdr:to>
    <xdr:sp>
      <xdr:nvSpPr>
        <xdr:cNvPr id="4" name="Yuvarlatılmış Dikdörtgen 4">
          <a:hlinkClick r:id="rId3"/>
        </xdr:cNvPr>
        <xdr:cNvSpPr>
          <a:spLocks/>
        </xdr:cNvSpPr>
      </xdr:nvSpPr>
      <xdr:spPr>
        <a:xfrm>
          <a:off x="685800" y="2209800"/>
          <a:ext cx="3028950" cy="2286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ALAN</a:t>
          </a:r>
          <a:r>
            <a:rPr lang="en-US" cap="none" sz="1100" b="0" i="0" u="none" baseline="0">
              <a:solidFill>
                <a:srgbClr val="000000"/>
              </a:solidFill>
            </a:rPr>
            <a:t> TECVİZ HESABI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276225</xdr:colOff>
      <xdr:row>11</xdr:row>
      <xdr:rowOff>66675</xdr:rowOff>
    </xdr:to>
    <xdr:sp>
      <xdr:nvSpPr>
        <xdr:cNvPr id="5" name="Yuvarlatılmış Dikdörtgen 8">
          <a:hlinkClick r:id="rId4"/>
        </xdr:cNvPr>
        <xdr:cNvSpPr>
          <a:spLocks/>
        </xdr:cNvSpPr>
      </xdr:nvSpPr>
      <xdr:spPr>
        <a:xfrm>
          <a:off x="685800" y="1724025"/>
          <a:ext cx="3028950" cy="2286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LİHKAB HESAPLAMALAR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28575</xdr:rowOff>
    </xdr:from>
    <xdr:to>
      <xdr:col>7</xdr:col>
      <xdr:colOff>104775</xdr:colOff>
      <xdr:row>2</xdr:row>
      <xdr:rowOff>114300</xdr:rowOff>
    </xdr:to>
    <xdr:sp>
      <xdr:nvSpPr>
        <xdr:cNvPr id="1" name="Yuvarlatılmış Dikdörtgen 1"/>
        <xdr:cNvSpPr>
          <a:spLocks/>
        </xdr:cNvSpPr>
      </xdr:nvSpPr>
      <xdr:spPr>
        <a:xfrm>
          <a:off x="819150" y="190500"/>
          <a:ext cx="4038600" cy="2476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KONTROLLÜK HESABI </a:t>
          </a:r>
        </a:p>
      </xdr:txBody>
    </xdr:sp>
    <xdr:clientData/>
  </xdr:twoCellAnchor>
  <xdr:twoCellAnchor>
    <xdr:from>
      <xdr:col>4</xdr:col>
      <xdr:colOff>276225</xdr:colOff>
      <xdr:row>4</xdr:row>
      <xdr:rowOff>19050</xdr:rowOff>
    </xdr:from>
    <xdr:to>
      <xdr:col>4</xdr:col>
      <xdr:colOff>666750</xdr:colOff>
      <xdr:row>5</xdr:row>
      <xdr:rowOff>19050</xdr:rowOff>
    </xdr:to>
    <xdr:sp>
      <xdr:nvSpPr>
        <xdr:cNvPr id="2" name="Sağ Ok 3"/>
        <xdr:cNvSpPr>
          <a:spLocks/>
        </xdr:cNvSpPr>
      </xdr:nvSpPr>
      <xdr:spPr>
        <a:xfrm>
          <a:off x="2971800" y="676275"/>
          <a:ext cx="390525" cy="247650"/>
        </a:xfrm>
        <a:prstGeom prst="rightArrow">
          <a:avLst>
            <a:gd name="adj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285750</xdr:colOff>
      <xdr:row>5</xdr:row>
      <xdr:rowOff>152400</xdr:rowOff>
    </xdr:from>
    <xdr:to>
      <xdr:col>4</xdr:col>
      <xdr:colOff>676275</xdr:colOff>
      <xdr:row>7</xdr:row>
      <xdr:rowOff>19050</xdr:rowOff>
    </xdr:to>
    <xdr:sp>
      <xdr:nvSpPr>
        <xdr:cNvPr id="3" name="Sağ Ok 4"/>
        <xdr:cNvSpPr>
          <a:spLocks/>
        </xdr:cNvSpPr>
      </xdr:nvSpPr>
      <xdr:spPr>
        <a:xfrm>
          <a:off x="2981325" y="1057275"/>
          <a:ext cx="390525" cy="266700"/>
        </a:xfrm>
        <a:prstGeom prst="rightArrow">
          <a:avLst>
            <a:gd name="adj" fmla="val 19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142875</xdr:rowOff>
    </xdr:from>
    <xdr:to>
      <xdr:col>4</xdr:col>
      <xdr:colOff>676275</xdr:colOff>
      <xdr:row>9</xdr:row>
      <xdr:rowOff>19050</xdr:rowOff>
    </xdr:to>
    <xdr:sp>
      <xdr:nvSpPr>
        <xdr:cNvPr id="4" name="Sağ Ok 5"/>
        <xdr:cNvSpPr>
          <a:spLocks/>
        </xdr:cNvSpPr>
      </xdr:nvSpPr>
      <xdr:spPr>
        <a:xfrm>
          <a:off x="2962275" y="1447800"/>
          <a:ext cx="409575" cy="266700"/>
        </a:xfrm>
        <a:prstGeom prst="rightArrow">
          <a:avLst>
            <a:gd name="adj" fmla="val 22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142875</xdr:rowOff>
    </xdr:from>
    <xdr:to>
      <xdr:col>4</xdr:col>
      <xdr:colOff>676275</xdr:colOff>
      <xdr:row>11</xdr:row>
      <xdr:rowOff>19050</xdr:rowOff>
    </xdr:to>
    <xdr:sp>
      <xdr:nvSpPr>
        <xdr:cNvPr id="5" name="Sağ Ok 7"/>
        <xdr:cNvSpPr>
          <a:spLocks/>
        </xdr:cNvSpPr>
      </xdr:nvSpPr>
      <xdr:spPr>
        <a:xfrm>
          <a:off x="2962275" y="1838325"/>
          <a:ext cx="409575" cy="257175"/>
        </a:xfrm>
        <a:prstGeom prst="rightArrow">
          <a:avLst>
            <a:gd name="adj" fmla="val 19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161925</xdr:rowOff>
    </xdr:from>
    <xdr:to>
      <xdr:col>4</xdr:col>
      <xdr:colOff>676275</xdr:colOff>
      <xdr:row>13</xdr:row>
      <xdr:rowOff>38100</xdr:rowOff>
    </xdr:to>
    <xdr:sp>
      <xdr:nvSpPr>
        <xdr:cNvPr id="6" name="Sağ Ok 8"/>
        <xdr:cNvSpPr>
          <a:spLocks/>
        </xdr:cNvSpPr>
      </xdr:nvSpPr>
      <xdr:spPr>
        <a:xfrm>
          <a:off x="2962275" y="2238375"/>
          <a:ext cx="409575" cy="266700"/>
        </a:xfrm>
        <a:prstGeom prst="rightArrow">
          <a:avLst>
            <a:gd name="adj" fmla="val 19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257175</xdr:colOff>
      <xdr:row>15</xdr:row>
      <xdr:rowOff>152400</xdr:rowOff>
    </xdr:from>
    <xdr:to>
      <xdr:col>4</xdr:col>
      <xdr:colOff>666750</xdr:colOff>
      <xdr:row>17</xdr:row>
      <xdr:rowOff>9525</xdr:rowOff>
    </xdr:to>
    <xdr:sp>
      <xdr:nvSpPr>
        <xdr:cNvPr id="7" name="Sağ Ok 10"/>
        <xdr:cNvSpPr>
          <a:spLocks/>
        </xdr:cNvSpPr>
      </xdr:nvSpPr>
      <xdr:spPr>
        <a:xfrm>
          <a:off x="2952750" y="2943225"/>
          <a:ext cx="409575" cy="276225"/>
        </a:xfrm>
        <a:prstGeom prst="rightArrow">
          <a:avLst>
            <a:gd name="adj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57150</xdr:colOff>
      <xdr:row>10</xdr:row>
      <xdr:rowOff>9525</xdr:rowOff>
    </xdr:from>
    <xdr:to>
      <xdr:col>9</xdr:col>
      <xdr:colOff>1495425</xdr:colOff>
      <xdr:row>11</xdr:row>
      <xdr:rowOff>133350</xdr:rowOff>
    </xdr:to>
    <xdr:sp>
      <xdr:nvSpPr>
        <xdr:cNvPr id="8" name="Yuvarlatılmış Dikdörtgen 2">
          <a:hlinkClick r:id="rId1"/>
        </xdr:cNvPr>
        <xdr:cNvSpPr>
          <a:spLocks/>
        </xdr:cNvSpPr>
      </xdr:nvSpPr>
      <xdr:spPr>
        <a:xfrm>
          <a:off x="6010275" y="1876425"/>
          <a:ext cx="1438275" cy="333375"/>
        </a:xfrm>
        <a:prstGeom prst="round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11</xdr:col>
      <xdr:colOff>85725</xdr:colOff>
      <xdr:row>22</xdr:row>
      <xdr:rowOff>47625</xdr:rowOff>
    </xdr:to>
    <xdr:sp>
      <xdr:nvSpPr>
        <xdr:cNvPr id="1" name="Yuvarlatılmış Dikdörtgen 1">
          <a:hlinkClick r:id="rId1"/>
        </xdr:cNvPr>
        <xdr:cNvSpPr>
          <a:spLocks/>
        </xdr:cNvSpPr>
      </xdr:nvSpPr>
      <xdr:spPr>
        <a:xfrm>
          <a:off x="7334250" y="3028950"/>
          <a:ext cx="1457325" cy="733425"/>
        </a:xfrm>
        <a:prstGeom prst="round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  <xdr:twoCellAnchor editAs="oneCell">
    <xdr:from>
      <xdr:col>1</xdr:col>
      <xdr:colOff>180975</xdr:colOff>
      <xdr:row>0</xdr:row>
      <xdr:rowOff>0</xdr:rowOff>
    </xdr:from>
    <xdr:to>
      <xdr:col>2</xdr:col>
      <xdr:colOff>695325</xdr:colOff>
      <xdr:row>5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6</xdr:col>
      <xdr:colOff>28575</xdr:colOff>
      <xdr:row>2</xdr:row>
      <xdr:rowOff>95250</xdr:rowOff>
    </xdr:to>
    <xdr:sp>
      <xdr:nvSpPr>
        <xdr:cNvPr id="1" name="Yuvarlatılmış Dikdörtgen 1"/>
        <xdr:cNvSpPr>
          <a:spLocks/>
        </xdr:cNvSpPr>
      </xdr:nvSpPr>
      <xdr:spPr>
        <a:xfrm>
          <a:off x="609600" y="171450"/>
          <a:ext cx="3790950" cy="2476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LİHKAB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HESAPLAMALAR</a:t>
          </a:r>
        </a:p>
      </xdr:txBody>
    </xdr:sp>
    <xdr:clientData/>
  </xdr:twoCellAnchor>
  <xdr:twoCellAnchor>
    <xdr:from>
      <xdr:col>3</xdr:col>
      <xdr:colOff>161925</xdr:colOff>
      <xdr:row>4</xdr:row>
      <xdr:rowOff>9525</xdr:rowOff>
    </xdr:from>
    <xdr:to>
      <xdr:col>3</xdr:col>
      <xdr:colOff>542925</xdr:colOff>
      <xdr:row>5</xdr:row>
      <xdr:rowOff>9525</xdr:rowOff>
    </xdr:to>
    <xdr:sp>
      <xdr:nvSpPr>
        <xdr:cNvPr id="2" name="Sağ Ok 3"/>
        <xdr:cNvSpPr>
          <a:spLocks/>
        </xdr:cNvSpPr>
      </xdr:nvSpPr>
      <xdr:spPr>
        <a:xfrm>
          <a:off x="2476500" y="666750"/>
          <a:ext cx="390525" cy="238125"/>
        </a:xfrm>
        <a:prstGeom prst="rightArrow">
          <a:avLst>
            <a:gd name="adj" fmla="val 23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9525</xdr:rowOff>
    </xdr:from>
    <xdr:to>
      <xdr:col>9</xdr:col>
      <xdr:colOff>142875</xdr:colOff>
      <xdr:row>9</xdr:row>
      <xdr:rowOff>0</xdr:rowOff>
    </xdr:to>
    <xdr:sp>
      <xdr:nvSpPr>
        <xdr:cNvPr id="3" name="Yuvarlatılmış Dikdörtgen 7">
          <a:hlinkClick r:id="rId1"/>
        </xdr:cNvPr>
        <xdr:cNvSpPr>
          <a:spLocks/>
        </xdr:cNvSpPr>
      </xdr:nvSpPr>
      <xdr:spPr>
        <a:xfrm>
          <a:off x="5114925" y="1228725"/>
          <a:ext cx="1457325" cy="371475"/>
        </a:xfrm>
        <a:prstGeom prst="round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  <xdr:twoCellAnchor>
    <xdr:from>
      <xdr:col>3</xdr:col>
      <xdr:colOff>171450</xdr:colOff>
      <xdr:row>7</xdr:row>
      <xdr:rowOff>142875</xdr:rowOff>
    </xdr:from>
    <xdr:to>
      <xdr:col>3</xdr:col>
      <xdr:colOff>561975</xdr:colOff>
      <xdr:row>9</xdr:row>
      <xdr:rowOff>9525</xdr:rowOff>
    </xdr:to>
    <xdr:sp>
      <xdr:nvSpPr>
        <xdr:cNvPr id="4" name="Sağ Ok 3"/>
        <xdr:cNvSpPr>
          <a:spLocks/>
        </xdr:cNvSpPr>
      </xdr:nvSpPr>
      <xdr:spPr>
        <a:xfrm>
          <a:off x="2486025" y="1362075"/>
          <a:ext cx="390525" cy="247650"/>
        </a:xfrm>
        <a:prstGeom prst="rightArrow">
          <a:avLst>
            <a:gd name="adj" fmla="val 23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133350</xdr:rowOff>
    </xdr:from>
    <xdr:to>
      <xdr:col>3</xdr:col>
      <xdr:colOff>542925</xdr:colOff>
      <xdr:row>11</xdr:row>
      <xdr:rowOff>47625</xdr:rowOff>
    </xdr:to>
    <xdr:sp>
      <xdr:nvSpPr>
        <xdr:cNvPr id="5" name="Sağ Ok 3"/>
        <xdr:cNvSpPr>
          <a:spLocks/>
        </xdr:cNvSpPr>
      </xdr:nvSpPr>
      <xdr:spPr>
        <a:xfrm>
          <a:off x="2476500" y="1733550"/>
          <a:ext cx="390525" cy="257175"/>
        </a:xfrm>
        <a:prstGeom prst="rightArrow">
          <a:avLst>
            <a:gd name="adj" fmla="val 23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142875</xdr:rowOff>
    </xdr:from>
    <xdr:to>
      <xdr:col>3</xdr:col>
      <xdr:colOff>571500</xdr:colOff>
      <xdr:row>13</xdr:row>
      <xdr:rowOff>9525</xdr:rowOff>
    </xdr:to>
    <xdr:sp>
      <xdr:nvSpPr>
        <xdr:cNvPr id="6" name="Sağ Ok 3"/>
        <xdr:cNvSpPr>
          <a:spLocks/>
        </xdr:cNvSpPr>
      </xdr:nvSpPr>
      <xdr:spPr>
        <a:xfrm>
          <a:off x="2495550" y="2085975"/>
          <a:ext cx="390525" cy="257175"/>
        </a:xfrm>
        <a:prstGeom prst="rightArrow">
          <a:avLst>
            <a:gd name="adj" fmla="val 21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809625</xdr:colOff>
      <xdr:row>2</xdr:row>
      <xdr:rowOff>85725</xdr:rowOff>
    </xdr:to>
    <xdr:sp>
      <xdr:nvSpPr>
        <xdr:cNvPr id="1" name="Yuvarlatılmış Dikdörtgen 1"/>
        <xdr:cNvSpPr>
          <a:spLocks/>
        </xdr:cNvSpPr>
      </xdr:nvSpPr>
      <xdr:spPr>
        <a:xfrm>
          <a:off x="1743075" y="161925"/>
          <a:ext cx="4476750" cy="2476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TECVİZ HESABI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352425</xdr:colOff>
      <xdr:row>17</xdr:row>
      <xdr:rowOff>9525</xdr:rowOff>
    </xdr:to>
    <xdr:sp>
      <xdr:nvSpPr>
        <xdr:cNvPr id="2" name="Yuvarlatılmış Dikdörtgen 3">
          <a:hlinkClick r:id="rId1"/>
        </xdr:cNvPr>
        <xdr:cNvSpPr>
          <a:spLocks/>
        </xdr:cNvSpPr>
      </xdr:nvSpPr>
      <xdr:spPr>
        <a:xfrm>
          <a:off x="3238500" y="2924175"/>
          <a:ext cx="1438275" cy="333375"/>
        </a:xfrm>
        <a:prstGeom prst="round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&#252;cr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İLGİ-GİR"/>
      <sheetName val="DON.SER.UC"/>
      <sheetName val="BELGE ÖR.FİYATLARI"/>
      <sheetName val="sınırlandırma har."/>
    </sheetNames>
    <sheetDataSet>
      <sheetData sheetId="0">
        <row r="14">
          <cell r="H1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5" max="6" width="9.125" style="0" customWidth="1"/>
    <col min="10" max="10" width="9.125" style="0" customWidth="1"/>
  </cols>
  <sheetData>
    <row r="1" spans="1:9" ht="21" customHeight="1">
      <c r="A1" s="179"/>
      <c r="B1" s="179"/>
      <c r="C1" s="179"/>
      <c r="D1" s="179"/>
      <c r="E1" s="179"/>
      <c r="F1" s="179"/>
      <c r="G1" s="179"/>
      <c r="H1" s="179"/>
      <c r="I1" s="179"/>
    </row>
    <row r="19" spans="7:9" ht="12.75">
      <c r="G19" s="180" t="s">
        <v>89</v>
      </c>
      <c r="H19" s="180"/>
      <c r="I19" s="180"/>
    </row>
    <row r="20" spans="6:10" ht="12.75">
      <c r="F20" s="180" t="s">
        <v>153</v>
      </c>
      <c r="G20" s="180"/>
      <c r="H20" s="180"/>
      <c r="I20" s="180"/>
      <c r="J20" s="180"/>
    </row>
    <row r="21" spans="7:9" ht="12.75">
      <c r="G21" s="181" t="s">
        <v>152</v>
      </c>
      <c r="H21" s="181"/>
      <c r="I21" s="181"/>
    </row>
  </sheetData>
  <sheetProtection password="C6DD" sheet="1" formatCells="0" formatColumns="0" formatRows="0" insertColumns="0" insertRows="0" insertHyperlinks="0" deleteColumns="0" deleteRows="0" sort="0" autoFilter="0" pivotTables="0"/>
  <mergeCells count="4">
    <mergeCell ref="A1:I1"/>
    <mergeCell ref="G19:I19"/>
    <mergeCell ref="F20:J20"/>
    <mergeCell ref="G21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8"/>
  <sheetViews>
    <sheetView showGridLines="0" tabSelected="1" zoomScalePageLayoutView="0" workbookViewId="0" topLeftCell="A1">
      <selection activeCell="F5" sqref="F5:J5"/>
    </sheetView>
  </sheetViews>
  <sheetFormatPr defaultColWidth="9.00390625" defaultRowHeight="12.75"/>
  <cols>
    <col min="1" max="1" width="1.75390625" style="0" customWidth="1"/>
    <col min="4" max="4" width="15.625" style="0" customWidth="1"/>
    <col min="8" max="8" width="6.75390625" style="0" customWidth="1"/>
    <col min="10" max="10" width="43.125" style="0" customWidth="1"/>
  </cols>
  <sheetData>
    <row r="1" ht="12.75">
      <c r="A1" s="142"/>
    </row>
    <row r="4" ht="13.5" thickBot="1"/>
    <row r="5" spans="2:10" ht="19.5" customHeight="1" thickBot="1">
      <c r="B5" s="188" t="s">
        <v>155</v>
      </c>
      <c r="C5" s="189"/>
      <c r="D5" s="190"/>
      <c r="F5" s="186"/>
      <c r="G5" s="193"/>
      <c r="H5" s="193"/>
      <c r="I5" s="193"/>
      <c r="J5" s="187"/>
    </row>
    <row r="6" ht="13.5" thickBot="1"/>
    <row r="7" spans="2:10" ht="18" customHeight="1" thickBot="1">
      <c r="B7" s="188" t="s">
        <v>74</v>
      </c>
      <c r="C7" s="189"/>
      <c r="D7" s="190"/>
      <c r="F7" s="191"/>
      <c r="G7" s="192"/>
      <c r="I7" s="120"/>
      <c r="J7" s="122"/>
    </row>
    <row r="8" ht="13.5" thickBot="1"/>
    <row r="9" spans="2:7" ht="17.25" customHeight="1" thickBot="1">
      <c r="B9" s="188" t="s">
        <v>117</v>
      </c>
      <c r="C9" s="189"/>
      <c r="D9" s="190"/>
      <c r="F9" s="186"/>
      <c r="G9" s="187"/>
    </row>
    <row r="10" spans="6:7" ht="13.5" thickBot="1">
      <c r="F10" s="123"/>
      <c r="G10" s="123"/>
    </row>
    <row r="11" spans="2:7" ht="16.5" customHeight="1" thickBot="1">
      <c r="B11" s="188" t="s">
        <v>154</v>
      </c>
      <c r="C11" s="189"/>
      <c r="D11" s="190"/>
      <c r="F11" s="186"/>
      <c r="G11" s="187"/>
    </row>
    <row r="12" spans="6:7" ht="13.5" thickBot="1">
      <c r="F12" s="123"/>
      <c r="G12" s="123"/>
    </row>
    <row r="13" spans="2:7" ht="17.25" customHeight="1" thickBot="1">
      <c r="B13" s="188" t="s">
        <v>116</v>
      </c>
      <c r="C13" s="189"/>
      <c r="D13" s="190"/>
      <c r="F13" s="186"/>
      <c r="G13" s="187"/>
    </row>
    <row r="14" spans="6:7" ht="12.75">
      <c r="F14" s="123"/>
      <c r="G14" s="123"/>
    </row>
    <row r="15" ht="12.75">
      <c r="I15" s="119"/>
    </row>
    <row r="16" ht="13.5" thickBot="1"/>
    <row r="17" spans="2:8" ht="19.5" customHeight="1" thickBot="1">
      <c r="B17" s="182" t="s">
        <v>86</v>
      </c>
      <c r="C17" s="183"/>
      <c r="D17" s="184"/>
      <c r="F17" s="185" t="e">
        <f>HLOOKUP(F5,HESAP2!$B$7:$J$9,2,0)</f>
        <v>#N/A</v>
      </c>
      <c r="G17" s="185"/>
      <c r="H17" s="185"/>
    </row>
    <row r="237" ht="13.5" thickBot="1"/>
    <row r="238" spans="2:10" ht="330">
      <c r="B238" s="64" t="s">
        <v>93</v>
      </c>
      <c r="C238" s="60" t="s">
        <v>91</v>
      </c>
      <c r="D238" s="61" t="s">
        <v>92</v>
      </c>
      <c r="E238" s="63" t="s">
        <v>62</v>
      </c>
      <c r="F238" s="107" t="s">
        <v>75</v>
      </c>
      <c r="G238" s="62" t="s">
        <v>78</v>
      </c>
      <c r="H238" s="113" t="s">
        <v>79</v>
      </c>
      <c r="I238" s="62" t="s">
        <v>83</v>
      </c>
      <c r="J238" s="113" t="s">
        <v>84</v>
      </c>
    </row>
  </sheetData>
  <sheetProtection password="C6DD" sheet="1" formatCells="0" formatColumns="0" formatRows="0" insertColumns="0" insertRows="0" insertHyperlinks="0" deleteColumns="0" deleteRows="0" sort="0" autoFilter="0" pivotTables="0"/>
  <mergeCells count="12">
    <mergeCell ref="B5:D5"/>
    <mergeCell ref="B7:D7"/>
    <mergeCell ref="F5:J5"/>
    <mergeCell ref="F9:G9"/>
    <mergeCell ref="F11:G11"/>
    <mergeCell ref="B17:D17"/>
    <mergeCell ref="F17:H17"/>
    <mergeCell ref="F13:G13"/>
    <mergeCell ref="B9:D9"/>
    <mergeCell ref="F7:G7"/>
    <mergeCell ref="B13:D13"/>
    <mergeCell ref="B11:D11"/>
  </mergeCells>
  <dataValidations count="1">
    <dataValidation type="list" allowBlank="1" showInputMessage="1" showErrorMessage="1" sqref="F5:J5">
      <formula1>$B$238:$J$238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3">
      <selection activeCell="M32" sqref="M32"/>
    </sheetView>
  </sheetViews>
  <sheetFormatPr defaultColWidth="9.00390625" defaultRowHeight="12.75"/>
  <cols>
    <col min="1" max="1" width="2.00390625" style="0" customWidth="1"/>
    <col min="3" max="3" width="12.375" style="0" customWidth="1"/>
    <col min="4" max="4" width="13.25390625" style="0" customWidth="1"/>
    <col min="5" max="5" width="12.625" style="0" customWidth="1"/>
    <col min="6" max="6" width="14.75390625" style="0" customWidth="1"/>
    <col min="7" max="7" width="16.625" style="0" customWidth="1"/>
    <col min="8" max="8" width="7.75390625" style="0" customWidth="1"/>
    <col min="9" max="9" width="7.875" style="0" customWidth="1"/>
  </cols>
  <sheetData>
    <row r="1" spans="1:8" ht="12.75">
      <c r="A1" s="176"/>
      <c r="B1" s="158"/>
      <c r="C1" s="158"/>
      <c r="D1" s="158"/>
      <c r="E1" s="200" t="s">
        <v>118</v>
      </c>
      <c r="F1" s="201"/>
      <c r="G1" s="201"/>
      <c r="H1" s="202"/>
    </row>
    <row r="2" spans="1:8" ht="12.75">
      <c r="A2" s="177"/>
      <c r="B2" s="159"/>
      <c r="C2" s="159"/>
      <c r="D2" s="159"/>
      <c r="E2" s="203"/>
      <c r="F2" s="203"/>
      <c r="G2" s="203"/>
      <c r="H2" s="204"/>
    </row>
    <row r="3" spans="1:8" ht="12.75">
      <c r="A3" s="177"/>
      <c r="B3" s="159"/>
      <c r="C3" s="159"/>
      <c r="D3" s="159"/>
      <c r="E3" s="203"/>
      <c r="F3" s="203"/>
      <c r="G3" s="203"/>
      <c r="H3" s="204"/>
    </row>
    <row r="4" spans="1:8" ht="12.75">
      <c r="A4" s="177"/>
      <c r="B4" s="159"/>
      <c r="C4" s="159"/>
      <c r="D4" s="159"/>
      <c r="E4" s="203"/>
      <c r="F4" s="203"/>
      <c r="G4" s="203"/>
      <c r="H4" s="204"/>
    </row>
    <row r="5" spans="1:8" ht="12.75">
      <c r="A5" s="177"/>
      <c r="B5" s="159"/>
      <c r="C5" s="159"/>
      <c r="D5" s="159"/>
      <c r="E5" s="203"/>
      <c r="F5" s="203"/>
      <c r="G5" s="203"/>
      <c r="H5" s="204"/>
    </row>
    <row r="6" spans="1:8" ht="14.25" customHeight="1">
      <c r="A6" s="177"/>
      <c r="B6" s="174"/>
      <c r="C6" s="160"/>
      <c r="D6" s="160"/>
      <c r="E6" s="203"/>
      <c r="F6" s="203"/>
      <c r="G6" s="203"/>
      <c r="H6" s="204"/>
    </row>
    <row r="7" spans="1:8" ht="13.5">
      <c r="A7" s="177"/>
      <c r="B7" s="205" t="s">
        <v>119</v>
      </c>
      <c r="C7" s="205"/>
      <c r="D7" s="172" t="s">
        <v>120</v>
      </c>
      <c r="E7" s="172" t="s">
        <v>121</v>
      </c>
      <c r="F7" s="172" t="s">
        <v>122</v>
      </c>
      <c r="G7" s="172" t="s">
        <v>123</v>
      </c>
      <c r="H7" s="171"/>
    </row>
    <row r="8" spans="1:8" ht="15">
      <c r="A8" s="177"/>
      <c r="B8" s="206"/>
      <c r="C8" s="206"/>
      <c r="D8" s="161"/>
      <c r="E8" s="161"/>
      <c r="F8" s="161"/>
      <c r="G8" s="161"/>
      <c r="H8" s="162"/>
    </row>
    <row r="9" spans="1:8" ht="12.75">
      <c r="A9" s="177"/>
      <c r="B9" s="207"/>
      <c r="C9" s="207"/>
      <c r="D9" s="163"/>
      <c r="E9" s="163"/>
      <c r="F9" s="163"/>
      <c r="G9" s="163"/>
      <c r="H9" s="162"/>
    </row>
    <row r="10" spans="1:8" ht="12.75">
      <c r="A10" s="177"/>
      <c r="B10" s="207"/>
      <c r="C10" s="207"/>
      <c r="D10" s="163"/>
      <c r="E10" s="163"/>
      <c r="F10" s="163"/>
      <c r="G10" s="163"/>
      <c r="H10" s="162"/>
    </row>
    <row r="11" spans="1:8" ht="12.75">
      <c r="A11" s="177"/>
      <c r="B11" s="159"/>
      <c r="C11" s="159"/>
      <c r="D11" s="160"/>
      <c r="E11" s="160"/>
      <c r="F11" s="160"/>
      <c r="G11" s="160"/>
      <c r="H11" s="162"/>
    </row>
    <row r="12" spans="1:8" ht="12.75">
      <c r="A12" s="177"/>
      <c r="B12" s="160"/>
      <c r="C12" s="160"/>
      <c r="D12" s="160"/>
      <c r="E12" s="160"/>
      <c r="F12" s="160"/>
      <c r="G12" s="160"/>
      <c r="H12" s="162"/>
    </row>
    <row r="13" spans="1:8" ht="13.5">
      <c r="A13" s="177"/>
      <c r="B13" s="164" t="s">
        <v>142</v>
      </c>
      <c r="C13" s="160"/>
      <c r="D13" s="160"/>
      <c r="E13" s="160"/>
      <c r="F13" s="160"/>
      <c r="G13" s="160"/>
      <c r="H13" s="162"/>
    </row>
    <row r="14" spans="1:8" ht="13.5" customHeight="1">
      <c r="A14" s="177"/>
      <c r="B14" s="196" t="s">
        <v>143</v>
      </c>
      <c r="C14" s="196"/>
      <c r="D14" s="196"/>
      <c r="E14" s="196"/>
      <c r="F14" s="196"/>
      <c r="G14" s="196"/>
      <c r="H14" s="162"/>
    </row>
    <row r="15" spans="1:8" ht="13.5">
      <c r="A15" s="177"/>
      <c r="B15" s="164"/>
      <c r="C15" s="164"/>
      <c r="D15" s="164"/>
      <c r="E15" s="164"/>
      <c r="F15" s="164"/>
      <c r="G15" s="164" t="s">
        <v>148</v>
      </c>
      <c r="H15" s="165"/>
    </row>
    <row r="16" spans="1:8" ht="13.5">
      <c r="A16" s="177"/>
      <c r="B16" s="164"/>
      <c r="C16" s="164"/>
      <c r="D16" s="164"/>
      <c r="E16" s="164"/>
      <c r="F16" s="164"/>
      <c r="G16" s="164"/>
      <c r="H16" s="165"/>
    </row>
    <row r="17" spans="1:8" ht="13.5">
      <c r="A17" s="177"/>
      <c r="B17" s="164"/>
      <c r="C17" s="164"/>
      <c r="D17" s="164"/>
      <c r="E17" s="164"/>
      <c r="F17" s="164"/>
      <c r="G17" s="164"/>
      <c r="H17" s="165"/>
    </row>
    <row r="18" spans="1:8" ht="13.5">
      <c r="A18" s="177"/>
      <c r="B18" s="208" t="s">
        <v>124</v>
      </c>
      <c r="C18" s="208"/>
      <c r="D18" s="164"/>
      <c r="E18" s="164"/>
      <c r="F18" s="164"/>
      <c r="G18" s="164" t="s">
        <v>125</v>
      </c>
      <c r="H18" s="165"/>
    </row>
    <row r="19" spans="1:8" ht="13.5">
      <c r="A19" s="177"/>
      <c r="B19" s="164" t="s">
        <v>126</v>
      </c>
      <c r="C19" s="164"/>
      <c r="D19" s="164"/>
      <c r="E19" s="164"/>
      <c r="F19" s="164"/>
      <c r="G19" s="164" t="s">
        <v>127</v>
      </c>
      <c r="H19" s="165"/>
    </row>
    <row r="20" spans="1:8" ht="13.5">
      <c r="A20" s="177"/>
      <c r="B20" s="160"/>
      <c r="C20" s="164"/>
      <c r="D20" s="164"/>
      <c r="E20" s="164"/>
      <c r="F20" s="164"/>
      <c r="G20" s="164"/>
      <c r="H20" s="165"/>
    </row>
    <row r="21" spans="1:8" ht="13.5">
      <c r="A21" s="177"/>
      <c r="B21" s="160"/>
      <c r="C21" s="164"/>
      <c r="D21" s="164"/>
      <c r="E21" s="164"/>
      <c r="F21" s="164"/>
      <c r="G21" s="164"/>
      <c r="H21" s="165"/>
    </row>
    <row r="22" spans="1:8" ht="13.5">
      <c r="A22" s="177"/>
      <c r="B22" s="160"/>
      <c r="C22" s="164"/>
      <c r="D22" s="164"/>
      <c r="E22" s="164"/>
      <c r="F22" s="164"/>
      <c r="G22" s="164"/>
      <c r="H22" s="165"/>
    </row>
    <row r="23" spans="1:8" ht="13.5">
      <c r="A23" s="177"/>
      <c r="B23" s="164"/>
      <c r="C23" s="164"/>
      <c r="D23" s="164"/>
      <c r="E23" s="164"/>
      <c r="F23" s="164"/>
      <c r="G23" s="164"/>
      <c r="H23" s="165"/>
    </row>
    <row r="24" spans="1:8" ht="13.5">
      <c r="A24" s="177"/>
      <c r="B24" s="164"/>
      <c r="C24" s="164"/>
      <c r="D24" s="164"/>
      <c r="E24" s="166" t="s">
        <v>128</v>
      </c>
      <c r="F24" s="164"/>
      <c r="G24" s="164"/>
      <c r="H24" s="165"/>
    </row>
    <row r="25" spans="1:8" ht="13.5">
      <c r="A25" s="177"/>
      <c r="B25" s="164"/>
      <c r="C25" s="164"/>
      <c r="D25" s="164"/>
      <c r="E25" s="164"/>
      <c r="F25" s="164"/>
      <c r="G25" s="164"/>
      <c r="H25" s="165"/>
    </row>
    <row r="26" spans="1:8" ht="13.5">
      <c r="A26" s="177"/>
      <c r="B26" s="197" t="s">
        <v>129</v>
      </c>
      <c r="C26" s="197"/>
      <c r="D26" s="149" t="s">
        <v>130</v>
      </c>
      <c r="E26" s="149" t="s">
        <v>131</v>
      </c>
      <c r="F26" s="149" t="s">
        <v>132</v>
      </c>
      <c r="G26" s="149" t="s">
        <v>133</v>
      </c>
      <c r="H26" s="155"/>
    </row>
    <row r="27" spans="1:8" ht="13.5">
      <c r="A27" s="177"/>
      <c r="B27" s="198" t="s">
        <v>134</v>
      </c>
      <c r="C27" s="198"/>
      <c r="D27" s="157"/>
      <c r="E27" s="152">
        <v>18.25</v>
      </c>
      <c r="F27" s="152">
        <f>D27*E27</f>
        <v>0</v>
      </c>
      <c r="G27" s="150"/>
      <c r="H27" s="155"/>
    </row>
    <row r="28" spans="1:8" ht="13.5">
      <c r="A28" s="177"/>
      <c r="B28" s="198" t="s">
        <v>135</v>
      </c>
      <c r="C28" s="198"/>
      <c r="D28" s="157"/>
      <c r="E28" s="152">
        <v>20.5</v>
      </c>
      <c r="F28" s="152">
        <f aca="true" t="shared" si="0" ref="F28:F33">D28*E28</f>
        <v>0</v>
      </c>
      <c r="G28" s="150"/>
      <c r="H28" s="155"/>
    </row>
    <row r="29" spans="1:8" ht="13.5">
      <c r="A29" s="177"/>
      <c r="B29" s="198" t="s">
        <v>136</v>
      </c>
      <c r="C29" s="198"/>
      <c r="D29" s="157"/>
      <c r="E29" s="152">
        <f>IF(D29&gt;1000,0.6,IF(D29&gt;500,1.3,IF(D29&gt;(-1),1.8)))</f>
        <v>1.8</v>
      </c>
      <c r="F29" s="152">
        <f t="shared" si="0"/>
        <v>0</v>
      </c>
      <c r="G29" s="150"/>
      <c r="H29" s="155"/>
    </row>
    <row r="30" spans="1:8" ht="13.5">
      <c r="A30" s="177"/>
      <c r="B30" s="199" t="s">
        <v>144</v>
      </c>
      <c r="C30" s="199"/>
      <c r="D30" s="157"/>
      <c r="E30" s="152">
        <v>8.5</v>
      </c>
      <c r="F30" s="152">
        <f t="shared" si="0"/>
        <v>0</v>
      </c>
      <c r="G30" s="150"/>
      <c r="H30" s="155"/>
    </row>
    <row r="31" spans="1:8" ht="13.5">
      <c r="A31" s="177"/>
      <c r="B31" s="199" t="s">
        <v>145</v>
      </c>
      <c r="C31" s="199"/>
      <c r="D31" s="157"/>
      <c r="E31" s="152">
        <v>74.75</v>
      </c>
      <c r="F31" s="152">
        <f t="shared" si="0"/>
        <v>0</v>
      </c>
      <c r="G31" s="150"/>
      <c r="H31" s="155"/>
    </row>
    <row r="32" spans="1:8" ht="13.5">
      <c r="A32" s="177"/>
      <c r="B32" s="199" t="s">
        <v>146</v>
      </c>
      <c r="C32" s="199"/>
      <c r="D32" s="157"/>
      <c r="E32" s="152">
        <v>31.5</v>
      </c>
      <c r="F32" s="152">
        <f t="shared" si="0"/>
        <v>0</v>
      </c>
      <c r="G32" s="150"/>
      <c r="H32" s="155"/>
    </row>
    <row r="33" spans="1:8" ht="13.5">
      <c r="A33" s="177"/>
      <c r="B33" s="198" t="s">
        <v>147</v>
      </c>
      <c r="C33" s="198"/>
      <c r="D33" s="157"/>
      <c r="E33" s="152">
        <v>20.5</v>
      </c>
      <c r="F33" s="152">
        <f t="shared" si="0"/>
        <v>0</v>
      </c>
      <c r="G33" s="150"/>
      <c r="H33" s="155"/>
    </row>
    <row r="34" spans="1:8" ht="13.5">
      <c r="A34" s="177"/>
      <c r="B34" s="198" t="s">
        <v>97</v>
      </c>
      <c r="C34" s="198"/>
      <c r="D34" s="151">
        <f>SUM(D27:D33)</f>
        <v>0</v>
      </c>
      <c r="E34" s="152"/>
      <c r="F34" s="152">
        <f>SUM(F27:F33)</f>
        <v>0</v>
      </c>
      <c r="G34" s="150"/>
      <c r="H34" s="155"/>
    </row>
    <row r="35" spans="1:8" ht="13.5">
      <c r="A35" s="177"/>
      <c r="B35" s="164"/>
      <c r="C35" s="164"/>
      <c r="D35" s="164"/>
      <c r="E35" s="164"/>
      <c r="F35" s="164"/>
      <c r="G35" s="164"/>
      <c r="H35" s="155"/>
    </row>
    <row r="36" spans="1:8" ht="13.5">
      <c r="A36" s="177"/>
      <c r="B36" s="175" t="s">
        <v>149</v>
      </c>
      <c r="C36" s="167"/>
      <c r="D36" s="164"/>
      <c r="E36" s="164"/>
      <c r="F36" s="164"/>
      <c r="G36" s="168"/>
      <c r="H36" s="155"/>
    </row>
    <row r="37" spans="1:8" ht="13.5">
      <c r="A37" s="177"/>
      <c r="B37" s="164" t="s">
        <v>150</v>
      </c>
      <c r="C37" s="164"/>
      <c r="D37" s="164"/>
      <c r="E37" s="164"/>
      <c r="F37" s="164"/>
      <c r="G37" s="164"/>
      <c r="H37" s="155"/>
    </row>
    <row r="38" spans="1:8" ht="13.5">
      <c r="A38" s="177"/>
      <c r="B38" s="164" t="s">
        <v>151</v>
      </c>
      <c r="C38" s="164"/>
      <c r="D38" s="164"/>
      <c r="E38" s="164"/>
      <c r="F38" s="164"/>
      <c r="G38" s="164"/>
      <c r="H38" s="155"/>
    </row>
    <row r="39" spans="1:8" ht="13.5">
      <c r="A39" s="177"/>
      <c r="B39" s="164"/>
      <c r="C39" s="164"/>
      <c r="D39" s="164"/>
      <c r="E39" s="164"/>
      <c r="F39" s="164"/>
      <c r="G39" s="164"/>
      <c r="H39" s="155"/>
    </row>
    <row r="40" spans="1:8" ht="13.5">
      <c r="A40" s="177"/>
      <c r="B40" s="164"/>
      <c r="C40" s="164"/>
      <c r="D40" s="164"/>
      <c r="E40" s="164"/>
      <c r="F40" s="164"/>
      <c r="G40" s="164"/>
      <c r="H40" s="155"/>
    </row>
    <row r="41" spans="1:8" ht="13.5">
      <c r="A41" s="177"/>
      <c r="B41" s="194" t="s">
        <v>137</v>
      </c>
      <c r="C41" s="194"/>
      <c r="D41" s="164"/>
      <c r="E41" s="164"/>
      <c r="F41" s="194" t="s">
        <v>138</v>
      </c>
      <c r="G41" s="194"/>
      <c r="H41" s="155"/>
    </row>
    <row r="42" spans="1:8" ht="13.5">
      <c r="A42" s="177"/>
      <c r="B42" s="195"/>
      <c r="C42" s="195"/>
      <c r="D42" s="164"/>
      <c r="E42" s="164"/>
      <c r="F42" s="195"/>
      <c r="G42" s="195"/>
      <c r="H42" s="155"/>
    </row>
    <row r="43" spans="1:8" ht="13.5">
      <c r="A43" s="177"/>
      <c r="B43" s="168"/>
      <c r="C43" s="168"/>
      <c r="D43" s="164"/>
      <c r="E43" s="164"/>
      <c r="F43" s="168"/>
      <c r="G43" s="168"/>
      <c r="H43" s="155"/>
    </row>
    <row r="44" spans="1:8" ht="13.5">
      <c r="A44" s="177"/>
      <c r="B44" s="168"/>
      <c r="C44" s="168"/>
      <c r="D44" s="164"/>
      <c r="E44" s="164"/>
      <c r="F44" s="168"/>
      <c r="G44" s="168"/>
      <c r="H44" s="155"/>
    </row>
    <row r="45" spans="1:8" ht="13.5">
      <c r="A45" s="177"/>
      <c r="B45" s="168"/>
      <c r="C45" s="168"/>
      <c r="D45" s="164"/>
      <c r="E45" s="164"/>
      <c r="F45" s="168"/>
      <c r="G45" s="168"/>
      <c r="H45" s="155"/>
    </row>
    <row r="46" spans="1:8" ht="13.5">
      <c r="A46" s="177"/>
      <c r="B46" s="168"/>
      <c r="C46" s="168"/>
      <c r="D46" s="164"/>
      <c r="E46" s="164"/>
      <c r="F46" s="168"/>
      <c r="G46" s="168"/>
      <c r="H46" s="155"/>
    </row>
    <row r="47" spans="1:8" ht="13.5">
      <c r="A47" s="177"/>
      <c r="B47" s="164"/>
      <c r="C47" s="164"/>
      <c r="D47" s="164"/>
      <c r="E47" s="164"/>
      <c r="F47" s="160"/>
      <c r="G47" s="164"/>
      <c r="H47" s="155"/>
    </row>
    <row r="48" spans="1:8" ht="13.5">
      <c r="A48" s="177"/>
      <c r="B48" s="164"/>
      <c r="C48" s="164"/>
      <c r="D48" s="164"/>
      <c r="E48" s="164"/>
      <c r="F48" s="164"/>
      <c r="G48" s="164"/>
      <c r="H48" s="155"/>
    </row>
    <row r="49" spans="1:8" ht="13.5">
      <c r="A49" s="177"/>
      <c r="B49" s="164"/>
      <c r="C49" s="164"/>
      <c r="D49" s="164"/>
      <c r="E49" s="166" t="s">
        <v>139</v>
      </c>
      <c r="F49" s="164"/>
      <c r="G49" s="164"/>
      <c r="H49" s="155"/>
    </row>
    <row r="50" spans="1:8" ht="13.5">
      <c r="A50" s="177"/>
      <c r="B50" s="164"/>
      <c r="C50" s="164"/>
      <c r="D50" s="195" t="s">
        <v>140</v>
      </c>
      <c r="E50" s="196"/>
      <c r="F50" s="195"/>
      <c r="G50" s="164"/>
      <c r="H50" s="155"/>
    </row>
    <row r="51" spans="1:8" ht="13.5">
      <c r="A51" s="177"/>
      <c r="B51" s="164"/>
      <c r="C51" s="164"/>
      <c r="D51" s="168"/>
      <c r="E51" s="173"/>
      <c r="F51" s="168"/>
      <c r="G51" s="164"/>
      <c r="H51" s="155"/>
    </row>
    <row r="52" spans="1:8" ht="13.5">
      <c r="A52" s="177"/>
      <c r="B52" s="164"/>
      <c r="C52" s="164"/>
      <c r="D52" s="168"/>
      <c r="E52" s="173"/>
      <c r="F52" s="168"/>
      <c r="G52" s="164"/>
      <c r="H52" s="155"/>
    </row>
    <row r="53" spans="1:8" ht="13.5">
      <c r="A53" s="177"/>
      <c r="B53" s="160"/>
      <c r="C53" s="160"/>
      <c r="D53" s="195"/>
      <c r="E53" s="195"/>
      <c r="F53" s="195"/>
      <c r="G53" s="160"/>
      <c r="H53" s="154"/>
    </row>
    <row r="54" spans="1:8" ht="14.25" thickBot="1">
      <c r="A54" s="178"/>
      <c r="B54" s="169"/>
      <c r="C54" s="169"/>
      <c r="D54" s="169"/>
      <c r="E54" s="169"/>
      <c r="F54" s="169"/>
      <c r="G54" s="169"/>
      <c r="H54" s="156"/>
    </row>
    <row r="55" spans="2:8" ht="15.75">
      <c r="B55" s="170" t="s">
        <v>141</v>
      </c>
      <c r="C55" s="164"/>
      <c r="D55" s="164"/>
      <c r="E55" s="164"/>
      <c r="F55" s="164"/>
      <c r="G55" s="164"/>
      <c r="H55" s="153"/>
    </row>
  </sheetData>
  <sheetProtection password="C6DD" sheet="1" formatCells="0" formatColumns="0" formatRows="0" insertColumns="0" insertRows="0" insertHyperlinks="0" deleteColumns="0" deleteRows="0" sort="0" autoFilter="0" pivotTables="0"/>
  <mergeCells count="22">
    <mergeCell ref="E1:H6"/>
    <mergeCell ref="B7:C7"/>
    <mergeCell ref="B8:C8"/>
    <mergeCell ref="B9:C9"/>
    <mergeCell ref="B10:C10"/>
    <mergeCell ref="B18:C18"/>
    <mergeCell ref="B14:G14"/>
    <mergeCell ref="B26:C26"/>
    <mergeCell ref="B27:C27"/>
    <mergeCell ref="B28:C28"/>
    <mergeCell ref="B29:C29"/>
    <mergeCell ref="B33:C33"/>
    <mergeCell ref="B34:C34"/>
    <mergeCell ref="B30:C30"/>
    <mergeCell ref="B31:C31"/>
    <mergeCell ref="B32:C32"/>
    <mergeCell ref="B41:C41"/>
    <mergeCell ref="F41:G41"/>
    <mergeCell ref="B42:C42"/>
    <mergeCell ref="F42:G42"/>
    <mergeCell ref="D50:F50"/>
    <mergeCell ref="D53:F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2">
    <pageSetUpPr fitToPage="1"/>
  </sheetPr>
  <dimension ref="A1:J21"/>
  <sheetViews>
    <sheetView zoomScale="75" zoomScaleNormal="75" zoomScalePageLayoutView="0" workbookViewId="0" topLeftCell="B1">
      <selection activeCell="H8" sqref="H8:H9"/>
    </sheetView>
  </sheetViews>
  <sheetFormatPr defaultColWidth="9.00390625" defaultRowHeight="12.75"/>
  <cols>
    <col min="1" max="1" width="20.625" style="0" customWidth="1"/>
    <col min="2" max="2" width="29.875" style="0" customWidth="1"/>
    <col min="3" max="3" width="33.375" style="0" customWidth="1"/>
    <col min="4" max="4" width="29.00390625" style="0" customWidth="1"/>
    <col min="5" max="5" width="24.00390625" style="0" customWidth="1"/>
    <col min="6" max="6" width="23.75390625" style="0" customWidth="1"/>
    <col min="7" max="7" width="27.75390625" style="0" customWidth="1"/>
    <col min="8" max="8" width="25.25390625" style="0" customWidth="1"/>
    <col min="9" max="9" width="24.00390625" style="0" customWidth="1"/>
    <col min="10" max="10" width="20.75390625" style="0" customWidth="1"/>
  </cols>
  <sheetData>
    <row r="1" spans="1:8" ht="25.5" customHeight="1">
      <c r="A1" s="211" t="s">
        <v>1</v>
      </c>
      <c r="B1" s="212"/>
      <c r="C1" s="213"/>
      <c r="D1" s="218" t="s">
        <v>82</v>
      </c>
      <c r="E1" s="218"/>
      <c r="F1" s="218"/>
      <c r="G1" s="218"/>
      <c r="H1" s="218"/>
    </row>
    <row r="2" spans="1:8" ht="19.5" customHeight="1">
      <c r="A2" s="214" t="s">
        <v>2</v>
      </c>
      <c r="B2" s="215"/>
      <c r="C2" s="97">
        <f>KONTROL!F9</f>
        <v>0</v>
      </c>
      <c r="D2" s="219"/>
      <c r="E2" s="219"/>
      <c r="F2" s="219"/>
      <c r="G2" s="219"/>
      <c r="H2" s="219"/>
    </row>
    <row r="3" spans="1:8" ht="19.5" customHeight="1">
      <c r="A3" s="214" t="s">
        <v>56</v>
      </c>
      <c r="B3" s="215"/>
      <c r="C3" s="98">
        <f>KONTROL!F13</f>
        <v>0</v>
      </c>
      <c r="D3" s="219"/>
      <c r="E3" s="219"/>
      <c r="F3" s="219"/>
      <c r="G3" s="219"/>
      <c r="H3" s="219"/>
    </row>
    <row r="4" spans="1:8" ht="19.5" customHeight="1">
      <c r="A4" s="216" t="s">
        <v>57</v>
      </c>
      <c r="B4" s="217"/>
      <c r="C4" s="99">
        <f>KONTROL!F11</f>
        <v>0</v>
      </c>
      <c r="D4" s="219"/>
      <c r="E4" s="219"/>
      <c r="F4" s="219"/>
      <c r="G4" s="219"/>
      <c r="H4" s="219"/>
    </row>
    <row r="5" spans="1:8" ht="19.5" customHeight="1" thickBot="1">
      <c r="A5" s="215" t="s">
        <v>26</v>
      </c>
      <c r="B5" s="217"/>
      <c r="C5" s="100">
        <f>KONTROL!F7</f>
        <v>0</v>
      </c>
      <c r="D5" s="220"/>
      <c r="E5" s="220"/>
      <c r="F5" s="220"/>
      <c r="G5" s="220"/>
      <c r="H5" s="220"/>
    </row>
    <row r="6" spans="1:10" ht="22.5" customHeight="1" thickBot="1">
      <c r="A6" s="209" t="s">
        <v>85</v>
      </c>
      <c r="B6" s="94" t="s">
        <v>5</v>
      </c>
      <c r="C6" s="95" t="s">
        <v>58</v>
      </c>
      <c r="D6" s="95" t="s">
        <v>60</v>
      </c>
      <c r="E6" s="96" t="s">
        <v>59</v>
      </c>
      <c r="F6" s="96" t="s">
        <v>6</v>
      </c>
      <c r="G6" s="43" t="s">
        <v>76</v>
      </c>
      <c r="H6" s="112" t="s">
        <v>77</v>
      </c>
      <c r="I6" s="43" t="s">
        <v>87</v>
      </c>
      <c r="J6" s="112" t="s">
        <v>88</v>
      </c>
    </row>
    <row r="7" spans="1:10" ht="120.75" customHeight="1">
      <c r="A7" s="210"/>
      <c r="B7" s="64" t="s">
        <v>93</v>
      </c>
      <c r="C7" s="60" t="s">
        <v>91</v>
      </c>
      <c r="D7" s="61" t="s">
        <v>92</v>
      </c>
      <c r="E7" s="63" t="s">
        <v>62</v>
      </c>
      <c r="F7" s="107" t="s">
        <v>75</v>
      </c>
      <c r="G7" s="62" t="s">
        <v>78</v>
      </c>
      <c r="H7" s="113" t="s">
        <v>79</v>
      </c>
      <c r="I7" s="62" t="s">
        <v>83</v>
      </c>
      <c r="J7" s="113" t="s">
        <v>84</v>
      </c>
    </row>
    <row r="8" spans="1:10" ht="15" customHeight="1">
      <c r="A8" s="226" t="s">
        <v>86</v>
      </c>
      <c r="B8" s="228">
        <f>'HESAP-KATSAYI'!B8</f>
        <v>107.5</v>
      </c>
      <c r="C8" s="230">
        <f>'HESAP-KATSAYI'!E20</f>
        <v>107.5</v>
      </c>
      <c r="D8" s="231">
        <f>'HESAP-KATSAYI'!G20</f>
        <v>107.5</v>
      </c>
      <c r="E8" s="232">
        <f>'HESAP-KATSAYI'!H8</f>
        <v>107.5</v>
      </c>
      <c r="F8" s="224">
        <f>'HESAP-KATSAYI'!H19</f>
        <v>107.5</v>
      </c>
      <c r="G8" s="221">
        <f>'HESAP-KATSAYI'!I8</f>
        <v>244</v>
      </c>
      <c r="H8" s="221">
        <f>'HESAP-KATSAYI'!I19</f>
        <v>107.5</v>
      </c>
      <c r="I8" s="221">
        <f>'HESAP-KATSAYI'!I8+'HESAP-KATSAYI'!I10</f>
        <v>298.25</v>
      </c>
      <c r="J8" s="221">
        <f>'HESAP-KATSAYI'!I19+'HESAP-KATSAYI'!J19</f>
        <v>161.75</v>
      </c>
    </row>
    <row r="9" spans="1:10" ht="15" customHeight="1" thickBot="1">
      <c r="A9" s="227"/>
      <c r="B9" s="229"/>
      <c r="C9" s="230"/>
      <c r="D9" s="231"/>
      <c r="E9" s="232"/>
      <c r="F9" s="225"/>
      <c r="G9" s="222"/>
      <c r="H9" s="222"/>
      <c r="I9" s="223"/>
      <c r="J9" s="223"/>
    </row>
    <row r="10" spans="4:8" ht="47.25" customHeight="1">
      <c r="D10" s="110"/>
      <c r="G10" s="115"/>
      <c r="H10" s="115"/>
    </row>
    <row r="11" spans="1:8" ht="18" customHeight="1">
      <c r="A11" s="106" t="s">
        <v>73</v>
      </c>
      <c r="B11" s="106" t="s">
        <v>74</v>
      </c>
      <c r="C11" s="116"/>
      <c r="D11" s="116"/>
      <c r="G11" s="121"/>
      <c r="H11" s="121"/>
    </row>
    <row r="12" spans="1:8" ht="18" customHeight="1">
      <c r="A12" s="106"/>
      <c r="B12" s="106"/>
      <c r="C12" s="116"/>
      <c r="D12" s="116"/>
      <c r="G12" s="121"/>
      <c r="H12" s="121"/>
    </row>
    <row r="13" spans="1:8" ht="18" customHeight="1">
      <c r="A13" s="117" t="s">
        <v>65</v>
      </c>
      <c r="B13" s="118">
        <v>1.2</v>
      </c>
      <c r="G13" s="121"/>
      <c r="H13" s="121"/>
    </row>
    <row r="14" spans="1:8" ht="18" customHeight="1">
      <c r="A14" s="108" t="s">
        <v>66</v>
      </c>
      <c r="B14" s="109">
        <v>0.9</v>
      </c>
      <c r="G14" s="121"/>
      <c r="H14" s="121"/>
    </row>
    <row r="15" spans="1:2" ht="18">
      <c r="A15" s="108" t="s">
        <v>64</v>
      </c>
      <c r="B15" s="109">
        <v>1.5</v>
      </c>
    </row>
    <row r="16" spans="1:2" ht="18">
      <c r="A16" s="108" t="s">
        <v>63</v>
      </c>
      <c r="B16" s="109">
        <v>1.5</v>
      </c>
    </row>
    <row r="17" spans="1:2" ht="18">
      <c r="A17" s="111" t="s">
        <v>70</v>
      </c>
      <c r="B17" s="109">
        <v>0.9</v>
      </c>
    </row>
    <row r="18" spans="1:2" ht="18">
      <c r="A18" s="108" t="s">
        <v>68</v>
      </c>
      <c r="B18" s="109">
        <v>1.2</v>
      </c>
    </row>
    <row r="19" spans="1:2" ht="18">
      <c r="A19" s="108" t="s">
        <v>67</v>
      </c>
      <c r="B19" s="109">
        <v>0.9</v>
      </c>
    </row>
    <row r="20" spans="1:2" ht="18">
      <c r="A20" s="108" t="s">
        <v>69</v>
      </c>
      <c r="B20" s="109">
        <v>0.6</v>
      </c>
    </row>
    <row r="21" spans="1:2" ht="18">
      <c r="A21" s="108" t="s">
        <v>72</v>
      </c>
      <c r="B21" s="109">
        <v>0.6</v>
      </c>
    </row>
  </sheetData>
  <sheetProtection password="C6DD" sheet="1" formatCells="0" formatColumns="0" formatRows="0" insertColumns="0" insertRows="0" insertHyperlinks="0" deleteColumns="0" deleteRows="0" sort="0" autoFilter="0" pivotTables="0"/>
  <mergeCells count="17">
    <mergeCell ref="H8:H9"/>
    <mergeCell ref="I8:I9"/>
    <mergeCell ref="J8:J9"/>
    <mergeCell ref="F8:F9"/>
    <mergeCell ref="G8:G9"/>
    <mergeCell ref="A8:A9"/>
    <mergeCell ref="B8:B9"/>
    <mergeCell ref="C8:C9"/>
    <mergeCell ref="D8:D9"/>
    <mergeCell ref="E8:E9"/>
    <mergeCell ref="A6:A7"/>
    <mergeCell ref="A1:C1"/>
    <mergeCell ref="A2:B2"/>
    <mergeCell ref="A3:B3"/>
    <mergeCell ref="A4:B4"/>
    <mergeCell ref="D1:H5"/>
    <mergeCell ref="A5:B5"/>
  </mergeCells>
  <printOptions/>
  <pageMargins left="0.15748031496062992" right="0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1"/>
  <dimension ref="A1:AC27"/>
  <sheetViews>
    <sheetView zoomScalePageLayoutView="0" workbookViewId="0" topLeftCell="F13">
      <selection activeCell="L20" sqref="L20"/>
    </sheetView>
  </sheetViews>
  <sheetFormatPr defaultColWidth="20.875" defaultRowHeight="12.75"/>
  <cols>
    <col min="1" max="1" width="16.75390625" style="0" customWidth="1"/>
    <col min="2" max="2" width="22.375" style="0" customWidth="1"/>
    <col min="3" max="3" width="23.375" style="1" customWidth="1"/>
    <col min="4" max="4" width="21.25390625" style="1" customWidth="1"/>
    <col min="5" max="5" width="21.875" style="42" customWidth="1"/>
    <col min="6" max="6" width="22.00390625" style="42" customWidth="1"/>
    <col min="7" max="7" width="20.875" style="1" customWidth="1"/>
    <col min="8" max="8" width="22.125" style="1" customWidth="1"/>
    <col min="9" max="9" width="20.875" style="11" customWidth="1"/>
    <col min="10" max="10" width="15.625" style="0" customWidth="1"/>
    <col min="11" max="16" width="20.875" style="0" customWidth="1"/>
    <col min="17" max="17" width="20.375" style="0" customWidth="1"/>
  </cols>
  <sheetData>
    <row r="1" spans="1:11" ht="15">
      <c r="A1" s="4" t="s">
        <v>8</v>
      </c>
      <c r="B1" s="5">
        <f>HESAP2!C2</f>
        <v>0</v>
      </c>
      <c r="C1" s="6">
        <f>ALN/10000</f>
        <v>0</v>
      </c>
      <c r="D1" s="7"/>
      <c r="E1" s="7">
        <f>HA</f>
        <v>0</v>
      </c>
      <c r="F1" s="8"/>
      <c r="G1" s="9">
        <f>HA</f>
        <v>0</v>
      </c>
      <c r="H1" s="10"/>
      <c r="J1" s="12"/>
      <c r="K1" s="13"/>
    </row>
    <row r="2" spans="1:10" ht="15">
      <c r="A2" s="4" t="s">
        <v>3</v>
      </c>
      <c r="B2" s="5">
        <f>HESAP2!C3</f>
        <v>0</v>
      </c>
      <c r="C2" s="6">
        <f>HA-150</f>
        <v>-150</v>
      </c>
      <c r="D2" s="7"/>
      <c r="E2" s="7">
        <f>HA-10</f>
        <v>-10</v>
      </c>
      <c r="F2" s="8"/>
      <c r="G2" s="9">
        <f>HA-10</f>
        <v>-10</v>
      </c>
      <c r="H2" s="10"/>
      <c r="J2" s="14"/>
    </row>
    <row r="3" spans="1:10" ht="15">
      <c r="A3" s="4" t="s">
        <v>9</v>
      </c>
      <c r="B3" s="5">
        <f>IF((HESAP2!C4)&lt;2,2,HESAP2!C4)</f>
        <v>2</v>
      </c>
      <c r="C3" s="6">
        <f>HA-100</f>
        <v>-100</v>
      </c>
      <c r="D3" s="7"/>
      <c r="E3" s="7">
        <f>HA-1</f>
        <v>-1</v>
      </c>
      <c r="F3" s="8"/>
      <c r="G3" s="9">
        <f>HA-2</f>
        <v>-2</v>
      </c>
      <c r="H3" s="10"/>
      <c r="J3" s="14"/>
    </row>
    <row r="4" spans="1:10" ht="15">
      <c r="A4" s="4" t="s">
        <v>27</v>
      </c>
      <c r="B4" s="114">
        <v>107.5</v>
      </c>
      <c r="C4" s="6">
        <f>HA-50</f>
        <v>-50</v>
      </c>
      <c r="D4" s="7"/>
      <c r="E4" s="15">
        <f>(ALN-5000)/1000</f>
        <v>-5</v>
      </c>
      <c r="F4" s="16"/>
      <c r="G4" s="17"/>
      <c r="H4" s="2"/>
      <c r="J4" s="14"/>
    </row>
    <row r="5" spans="1:29" ht="15">
      <c r="A5" s="4" t="s">
        <v>10</v>
      </c>
      <c r="B5" s="65">
        <f>yk</f>
        <v>0</v>
      </c>
      <c r="C5" s="6">
        <f>HA-10</f>
        <v>-10</v>
      </c>
      <c r="D5" s="7"/>
      <c r="E5" s="15">
        <f>(ALN-3000)/1000</f>
        <v>-3</v>
      </c>
      <c r="F5" s="16"/>
      <c r="G5" s="17"/>
      <c r="H5" s="2"/>
      <c r="J5" s="14"/>
      <c r="K5" s="244" t="s">
        <v>11</v>
      </c>
      <c r="L5" s="247" t="s">
        <v>12</v>
      </c>
      <c r="M5" s="248"/>
      <c r="N5" s="248"/>
      <c r="O5" s="248"/>
      <c r="P5" s="249"/>
      <c r="Q5" s="250" t="s">
        <v>13</v>
      </c>
      <c r="R5" s="250"/>
      <c r="S5" s="250"/>
      <c r="T5" s="250"/>
      <c r="U5" s="250"/>
      <c r="V5" s="251" t="s">
        <v>14</v>
      </c>
      <c r="W5" s="252"/>
      <c r="X5" s="252"/>
      <c r="Y5" s="253"/>
      <c r="Z5" s="257" t="s">
        <v>15</v>
      </c>
      <c r="AA5" s="257"/>
      <c r="AB5" s="257" t="s">
        <v>108</v>
      </c>
      <c r="AC5" s="257"/>
    </row>
    <row r="6" spans="1:29" ht="21.75" customHeight="1">
      <c r="A6" s="237" t="s">
        <v>4</v>
      </c>
      <c r="B6" s="239" t="s">
        <v>16</v>
      </c>
      <c r="C6" s="239" t="s">
        <v>17</v>
      </c>
      <c r="D6" s="241" t="s">
        <v>18</v>
      </c>
      <c r="E6" s="241" t="s">
        <v>19</v>
      </c>
      <c r="F6" s="233" t="s">
        <v>20</v>
      </c>
      <c r="G6" s="233" t="s">
        <v>21</v>
      </c>
      <c r="H6" s="235" t="s">
        <v>61</v>
      </c>
      <c r="I6" s="261" t="s">
        <v>7</v>
      </c>
      <c r="J6" s="18"/>
      <c r="K6" s="245"/>
      <c r="L6" s="263" t="s">
        <v>22</v>
      </c>
      <c r="M6" s="264"/>
      <c r="N6" s="264"/>
      <c r="O6" s="264"/>
      <c r="P6" s="264"/>
      <c r="Q6" s="265" t="s">
        <v>22</v>
      </c>
      <c r="R6" s="266"/>
      <c r="S6" s="266"/>
      <c r="T6" s="266"/>
      <c r="U6" s="266"/>
      <c r="V6" s="254" t="s">
        <v>22</v>
      </c>
      <c r="W6" s="255"/>
      <c r="X6" s="255"/>
      <c r="Y6" s="256"/>
      <c r="Z6" s="258" t="s">
        <v>22</v>
      </c>
      <c r="AA6" s="258"/>
      <c r="AB6" s="258" t="s">
        <v>22</v>
      </c>
      <c r="AC6" s="258"/>
    </row>
    <row r="7" spans="1:29" ht="81.75" customHeight="1">
      <c r="A7" s="238"/>
      <c r="B7" s="240"/>
      <c r="C7" s="240"/>
      <c r="D7" s="242"/>
      <c r="E7" s="242"/>
      <c r="F7" s="243"/>
      <c r="G7" s="234"/>
      <c r="H7" s="236"/>
      <c r="I7" s="262"/>
      <c r="J7" s="18"/>
      <c r="K7" s="246"/>
      <c r="L7" s="19" t="s">
        <v>41</v>
      </c>
      <c r="M7" s="19" t="s">
        <v>42</v>
      </c>
      <c r="N7" s="19" t="s">
        <v>43</v>
      </c>
      <c r="O7" s="19" t="s">
        <v>45</v>
      </c>
      <c r="P7" s="19" t="s">
        <v>44</v>
      </c>
      <c r="Q7" s="20" t="s">
        <v>33</v>
      </c>
      <c r="R7" s="20" t="s">
        <v>28</v>
      </c>
      <c r="S7" s="20" t="s">
        <v>29</v>
      </c>
      <c r="T7" s="20" t="s">
        <v>30</v>
      </c>
      <c r="U7" s="20" t="s">
        <v>31</v>
      </c>
      <c r="V7" s="21" t="s">
        <v>32</v>
      </c>
      <c r="W7" s="21" t="s">
        <v>34</v>
      </c>
      <c r="X7" s="21" t="s">
        <v>35</v>
      </c>
      <c r="Y7" s="21" t="s">
        <v>23</v>
      </c>
      <c r="Z7" s="22" t="s">
        <v>24</v>
      </c>
      <c r="AA7" s="23" t="s">
        <v>25</v>
      </c>
      <c r="AB7" s="22" t="s">
        <v>81</v>
      </c>
      <c r="AC7" s="23" t="s">
        <v>109</v>
      </c>
    </row>
    <row r="8" spans="1:29" s="82" customFormat="1" ht="30" customHeight="1">
      <c r="A8" s="66">
        <v>2017</v>
      </c>
      <c r="B8" s="67">
        <f>IF(C8&gt;K8,C8,K8)</f>
        <v>107.5</v>
      </c>
      <c r="C8" s="68">
        <f>(IF(ALN&gt;1500000,(L8*10+M8*40+N8*50+O8*50+P8*C2),IF(ALN&gt;1000000,(L8*10+M8*40+N8*50+O8*C3),IF(ALN&gt;500000,(L8*10+M8*40+N8*C4),IF(ALN&gt;100000,(L8*10+M8*C5),L8*HA)))))*yk</f>
        <v>0</v>
      </c>
      <c r="D8" s="69">
        <f>IF(E8&gt;K8,E8,K8)</f>
        <v>107.5</v>
      </c>
      <c r="E8" s="70">
        <f>(IF(ALN&gt;100000,(Q8+2*R8+5*S8+9*T8+E2*U8),IF(ALN&gt;10000,(Q8+2*R8+5*S8+E3*T8),IF(ALN&gt;5000,(Q8+2*R8+S8*E4),IF(ALN&gt;3000,(Q8+E5*R8),Q8)))))*yk</f>
        <v>0</v>
      </c>
      <c r="F8" s="71">
        <f>IF(G8&gt;K8,G8,K8)</f>
        <v>107.5</v>
      </c>
      <c r="G8" s="72">
        <f>((IF(ALN&gt;100000,(V8+8*W8+X8*G2),IF(ALN&gt;20000,(V8+W8*G3),V8)))+(PSAY-2)*Y8)*yk</f>
        <v>0</v>
      </c>
      <c r="H8" s="73">
        <f>IF((C8*0.5)&gt;K8,C8*0.5,K8)</f>
        <v>107.5</v>
      </c>
      <c r="I8" s="74">
        <f>IF(art&lt;1,Z8,(Z8*art))</f>
        <v>244</v>
      </c>
      <c r="J8" s="75"/>
      <c r="K8" s="76">
        <v>107.5</v>
      </c>
      <c r="L8" s="77">
        <v>193</v>
      </c>
      <c r="M8" s="77">
        <v>163</v>
      </c>
      <c r="N8" s="77">
        <v>142.5</v>
      </c>
      <c r="O8" s="77">
        <v>82.25</v>
      </c>
      <c r="P8" s="77">
        <v>20.5</v>
      </c>
      <c r="Q8" s="78">
        <v>128</v>
      </c>
      <c r="R8" s="78">
        <v>40</v>
      </c>
      <c r="S8" s="78">
        <v>30</v>
      </c>
      <c r="T8" s="78">
        <v>25.5</v>
      </c>
      <c r="U8" s="78">
        <v>20.5</v>
      </c>
      <c r="V8" s="79">
        <v>107.5</v>
      </c>
      <c r="W8" s="79">
        <v>14.5</v>
      </c>
      <c r="X8" s="80">
        <v>8.5</v>
      </c>
      <c r="Y8" s="79">
        <v>27.75</v>
      </c>
      <c r="Z8" s="81">
        <v>244</v>
      </c>
      <c r="AA8" s="77">
        <v>54.25</v>
      </c>
      <c r="AB8" s="81">
        <v>54.25</v>
      </c>
      <c r="AC8" s="77">
        <v>20.5</v>
      </c>
    </row>
    <row r="9" spans="1:29" ht="30" customHeight="1">
      <c r="A9" s="24"/>
      <c r="B9" s="25"/>
      <c r="C9" s="26"/>
      <c r="D9" s="32"/>
      <c r="E9" s="27"/>
      <c r="F9" s="33"/>
      <c r="G9" s="28"/>
      <c r="H9" s="29"/>
      <c r="I9" s="30" t="s">
        <v>115</v>
      </c>
      <c r="J9" s="31"/>
      <c r="K9" s="34"/>
      <c r="L9" s="35"/>
      <c r="M9" s="35"/>
      <c r="N9" s="35"/>
      <c r="O9" s="35"/>
      <c r="P9" s="35"/>
      <c r="Q9" s="36"/>
      <c r="R9" s="36"/>
      <c r="S9" s="36"/>
      <c r="T9" s="36"/>
      <c r="U9" s="36"/>
      <c r="V9" s="37"/>
      <c r="W9" s="37"/>
      <c r="X9" s="38"/>
      <c r="Y9" s="37"/>
      <c r="Z9" s="39"/>
      <c r="AA9" s="3"/>
      <c r="AB9" s="39"/>
      <c r="AC9" s="3"/>
    </row>
    <row r="10" spans="1:29" ht="30" customHeight="1">
      <c r="A10" s="24"/>
      <c r="B10" s="25"/>
      <c r="C10" s="26"/>
      <c r="D10" s="32"/>
      <c r="E10" s="27"/>
      <c r="F10" s="33"/>
      <c r="G10" s="28"/>
      <c r="H10" s="29"/>
      <c r="I10" s="30">
        <f>IF(art&lt;1,54.25,(art*54.25))</f>
        <v>54.25</v>
      </c>
      <c r="J10" s="40"/>
      <c r="K10" s="34"/>
      <c r="L10" s="35"/>
      <c r="M10" s="35"/>
      <c r="N10" s="35"/>
      <c r="O10" s="35"/>
      <c r="P10" s="35"/>
      <c r="Q10" s="36"/>
      <c r="R10" s="36"/>
      <c r="S10" s="36"/>
      <c r="T10" s="36"/>
      <c r="U10" s="36"/>
      <c r="V10" s="37"/>
      <c r="W10" s="37"/>
      <c r="X10" s="38"/>
      <c r="Y10" s="37"/>
      <c r="Z10" s="39"/>
      <c r="AA10" s="3"/>
      <c r="AB10" s="39"/>
      <c r="AC10" s="3"/>
    </row>
    <row r="11" spans="1:29" ht="30" customHeight="1">
      <c r="A11" s="24"/>
      <c r="B11" s="25"/>
      <c r="C11" s="26"/>
      <c r="D11" s="32"/>
      <c r="E11" s="27"/>
      <c r="F11" s="33"/>
      <c r="G11" s="28"/>
      <c r="H11" s="29"/>
      <c r="I11" s="30"/>
      <c r="J11" s="41"/>
      <c r="K11" s="34"/>
      <c r="L11" s="35"/>
      <c r="M11" s="35"/>
      <c r="N11" s="35"/>
      <c r="O11" s="35"/>
      <c r="P11" s="35"/>
      <c r="Q11" s="36"/>
      <c r="R11" s="36"/>
      <c r="S11" s="36"/>
      <c r="T11" s="36"/>
      <c r="U11" s="36"/>
      <c r="V11" s="37"/>
      <c r="W11" s="37"/>
      <c r="X11" s="38"/>
      <c r="Y11" s="37"/>
      <c r="Z11" s="39"/>
      <c r="AA11" s="3"/>
      <c r="AB11" s="39"/>
      <c r="AC11" s="3"/>
    </row>
    <row r="12" spans="2:7" ht="18.75" thickBot="1">
      <c r="B12" s="260" t="s">
        <v>55</v>
      </c>
      <c r="C12" s="260"/>
      <c r="D12" s="260"/>
      <c r="E12" s="260"/>
      <c r="F12" s="260"/>
      <c r="G12" s="260"/>
    </row>
    <row r="13" spans="2:10" ht="24.75" customHeight="1">
      <c r="B13" s="45" t="s">
        <v>36</v>
      </c>
      <c r="C13" s="83">
        <f>IF(ALN&gt;100000,L8*10,HA*L8)</f>
        <v>0</v>
      </c>
      <c r="D13" s="46" t="s">
        <v>47</v>
      </c>
      <c r="E13" s="88">
        <f>Q8</f>
        <v>128</v>
      </c>
      <c r="F13" s="47" t="s">
        <v>52</v>
      </c>
      <c r="G13" s="130">
        <f>V8</f>
        <v>107.5</v>
      </c>
      <c r="H13" s="137" t="s">
        <v>80</v>
      </c>
      <c r="I13" s="139" t="s">
        <v>110</v>
      </c>
      <c r="J13" s="140" t="s">
        <v>113</v>
      </c>
    </row>
    <row r="14" spans="2:25" ht="20.25" customHeight="1">
      <c r="B14" s="48" t="s">
        <v>40</v>
      </c>
      <c r="C14" s="84">
        <f>IF(ALN&lt;100000,0,IF(ALN&gt;500000,40*M8,(HA-10)*M8))</f>
        <v>0</v>
      </c>
      <c r="D14" s="56" t="s">
        <v>48</v>
      </c>
      <c r="E14" s="89">
        <f>IF(ALN&lt;3000,0,IF(ALN&gt;5000,R8*2,(ALN-3000)/1000*R8))</f>
        <v>0</v>
      </c>
      <c r="F14" s="57" t="s">
        <v>53</v>
      </c>
      <c r="G14" s="131">
        <f>IF(ALN&lt;20000,0,IF(ALN&gt;100000,8*W8,(HA-2)*W8))</f>
        <v>0</v>
      </c>
      <c r="H14" s="137"/>
      <c r="I14" s="139" t="s">
        <v>111</v>
      </c>
      <c r="J14" s="140" t="s">
        <v>114</v>
      </c>
      <c r="X14" s="259" t="s">
        <v>89</v>
      </c>
      <c r="Y14" s="259"/>
    </row>
    <row r="15" spans="2:25" ht="19.5" customHeight="1">
      <c r="B15" s="48" t="s">
        <v>37</v>
      </c>
      <c r="C15" s="84">
        <f>IF(ALN&lt;500000,0,IF(ALN&gt;1000000,50*N8,(HA-50)*N8))</f>
        <v>0</v>
      </c>
      <c r="D15" s="56" t="s">
        <v>49</v>
      </c>
      <c r="E15" s="89">
        <f>IF(ALN&lt;5000,0,IF(ALN&gt;10000,S8*5,(ALN-5000)/1000*S8))</f>
        <v>0</v>
      </c>
      <c r="F15" s="57" t="s">
        <v>51</v>
      </c>
      <c r="G15" s="131">
        <f>IF(ALN&lt;100000,0,(HA-10)*X8)</f>
        <v>0</v>
      </c>
      <c r="H15" s="137"/>
      <c r="I15" s="139" t="s">
        <v>112</v>
      </c>
      <c r="J15" s="141"/>
      <c r="X15" s="259" t="s">
        <v>90</v>
      </c>
      <c r="Y15" s="259"/>
    </row>
    <row r="16" spans="2:25" ht="24.75" customHeight="1">
      <c r="B16" s="48" t="s">
        <v>38</v>
      </c>
      <c r="C16" s="84">
        <f>IF(ALN&lt;1000000,0,IF(ALN&gt;1500000,50*O8,(HA-100)*O8))</f>
        <v>0</v>
      </c>
      <c r="D16" s="56" t="s">
        <v>50</v>
      </c>
      <c r="E16" s="90">
        <f>IF(ALN&lt;10000,0,IF(ALN&gt;100000,9*T8,(HA-1)*T8))</f>
        <v>0</v>
      </c>
      <c r="F16" s="57" t="s">
        <v>54</v>
      </c>
      <c r="G16" s="132">
        <f>(PSAY-2)*Y8</f>
        <v>0</v>
      </c>
      <c r="H16" s="137"/>
      <c r="I16" s="139"/>
      <c r="J16" s="141"/>
      <c r="X16" s="179"/>
      <c r="Y16" s="179"/>
    </row>
    <row r="17" spans="2:10" ht="24.75" customHeight="1" thickBot="1">
      <c r="B17" s="49" t="s">
        <v>39</v>
      </c>
      <c r="C17" s="85">
        <f>IF(ALN&lt;1500000,0,(HA-150)*P8)</f>
        <v>0</v>
      </c>
      <c r="D17" s="58" t="s">
        <v>51</v>
      </c>
      <c r="E17" s="91">
        <f>IF(ALN&lt;100000,0,(HA-10)*U8)</f>
        <v>0</v>
      </c>
      <c r="F17" s="59"/>
      <c r="G17" s="133"/>
      <c r="H17" s="137"/>
      <c r="I17" s="139"/>
      <c r="J17" s="141"/>
    </row>
    <row r="18" spans="2:10" ht="24.75" customHeight="1" thickBot="1">
      <c r="B18" s="101"/>
      <c r="C18" s="102"/>
      <c r="D18" s="103" t="s">
        <v>71</v>
      </c>
      <c r="E18" s="104">
        <f>(PSAY-2)*Y8</f>
        <v>0</v>
      </c>
      <c r="F18" s="105"/>
      <c r="G18" s="134"/>
      <c r="H18" s="137"/>
      <c r="I18" s="139"/>
      <c r="J18" s="141"/>
    </row>
    <row r="19" spans="2:10" ht="19.5" customHeight="1">
      <c r="B19" s="50" t="s">
        <v>0</v>
      </c>
      <c r="C19" s="86">
        <f>SUM(C13:C17)</f>
        <v>0</v>
      </c>
      <c r="D19" s="51" t="s">
        <v>0</v>
      </c>
      <c r="E19" s="92">
        <f>SUM(E13:E18)</f>
        <v>128</v>
      </c>
      <c r="F19" s="52" t="s">
        <v>0</v>
      </c>
      <c r="G19" s="135">
        <f>SUM(G13:G17)</f>
        <v>107.5</v>
      </c>
      <c r="H19" s="138">
        <f>IF(((ALN/10000)*P8*B5*0.5)&lt;K8,K8,((ALN/10000)*P8*B5*0.5))</f>
        <v>107.5</v>
      </c>
      <c r="I19" s="282">
        <f>IF((I21*54.25*B5)&lt;K8,K8,(I21*54.25*B5))</f>
        <v>107.5</v>
      </c>
      <c r="J19" s="140">
        <f>IF((ALN/10000)&lt;1,54.25,((ALN/10000)*20.5))</f>
        <v>54.25</v>
      </c>
    </row>
    <row r="20" spans="2:10" ht="15.75" thickBot="1">
      <c r="B20" s="53" t="s">
        <v>46</v>
      </c>
      <c r="C20" s="87">
        <f>IF((C19*yk)&lt;K8,K8,C19*yk)</f>
        <v>107.5</v>
      </c>
      <c r="D20" s="54" t="s">
        <v>46</v>
      </c>
      <c r="E20" s="93">
        <f>IF((E19*yk)&lt;K8,K8,E19*yk)</f>
        <v>107.5</v>
      </c>
      <c r="F20" s="55" t="s">
        <v>46</v>
      </c>
      <c r="G20" s="136">
        <f>IF((G19*yk)&lt;K8,K8,G19*yk)</f>
        <v>107.5</v>
      </c>
      <c r="H20" s="137"/>
      <c r="I20" s="139"/>
      <c r="J20" s="141"/>
    </row>
    <row r="21" ht="15">
      <c r="I21" s="11">
        <f>IF((ALN/10000)&lt;1,1,(ALN/10000))</f>
        <v>1</v>
      </c>
    </row>
    <row r="27" ht="15">
      <c r="E27" s="44"/>
    </row>
  </sheetData>
  <sheetProtection password="C6DD" sheet="1" formatCells="0" formatColumns="0" formatRows="0" insertColumns="0" insertRows="0" insertHyperlinks="0" deleteColumns="0" deleteRows="0" sort="0" autoFilter="0" pivotTables="0"/>
  <mergeCells count="24">
    <mergeCell ref="AB5:AC5"/>
    <mergeCell ref="AB6:AC6"/>
    <mergeCell ref="X14:Y14"/>
    <mergeCell ref="X15:Y15"/>
    <mergeCell ref="X16:Y16"/>
    <mergeCell ref="B12:G12"/>
    <mergeCell ref="Z6:AA6"/>
    <mergeCell ref="I6:I7"/>
    <mergeCell ref="L6:P6"/>
    <mergeCell ref="Q6:U6"/>
    <mergeCell ref="K5:K7"/>
    <mergeCell ref="L5:P5"/>
    <mergeCell ref="Q5:U5"/>
    <mergeCell ref="V5:Y5"/>
    <mergeCell ref="V6:Y6"/>
    <mergeCell ref="Z5:AA5"/>
    <mergeCell ref="G6:G7"/>
    <mergeCell ref="H6:H7"/>
    <mergeCell ref="A6:A7"/>
    <mergeCell ref="B6:B7"/>
    <mergeCell ref="C6:C7"/>
    <mergeCell ref="D6:D7"/>
    <mergeCell ref="E6:E7"/>
    <mergeCell ref="F6:F7"/>
  </mergeCells>
  <printOptions/>
  <pageMargins left="0.35433070866141736" right="0" top="0.984251968503937" bottom="0.984251968503937" header="0.5118110236220472" footer="0.5118110236220472"/>
  <pageSetup horizontalDpi="300" verticalDpi="300" orientation="landscape" paperSize="9" scale="65" r:id="rId1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5:H13"/>
  <sheetViews>
    <sheetView showGridLines="0" zoomScalePageLayoutView="0" workbookViewId="0" topLeftCell="A1">
      <selection activeCell="G22" sqref="G22"/>
    </sheetView>
  </sheetViews>
  <sheetFormatPr defaultColWidth="9.00390625" defaultRowHeight="12.75"/>
  <cols>
    <col min="3" max="3" width="12.375" style="0" customWidth="1"/>
  </cols>
  <sheetData>
    <row r="4" ht="13.5" thickBot="1"/>
    <row r="5" spans="1:6" ht="18.75" customHeight="1" thickBot="1">
      <c r="A5" s="188" t="s">
        <v>94</v>
      </c>
      <c r="B5" s="189"/>
      <c r="C5" s="190"/>
      <c r="E5" s="267"/>
      <c r="F5" s="268"/>
    </row>
    <row r="6" spans="5:8" ht="12.75">
      <c r="E6" s="123"/>
      <c r="F6" s="123"/>
      <c r="H6" s="122"/>
    </row>
    <row r="8" ht="13.5" thickBot="1"/>
    <row r="9" spans="1:6" ht="16.5" customHeight="1" thickBot="1">
      <c r="A9" s="276" t="s">
        <v>95</v>
      </c>
      <c r="B9" s="277"/>
      <c r="C9" s="278"/>
      <c r="E9" s="272">
        <f>0.05*E5</f>
        <v>0</v>
      </c>
      <c r="F9" s="273"/>
    </row>
    <row r="10" spans="5:6" ht="13.5" thickBot="1">
      <c r="E10" s="124"/>
      <c r="F10" s="124"/>
    </row>
    <row r="11" spans="1:6" ht="13.5" thickBot="1">
      <c r="A11" s="276" t="s">
        <v>96</v>
      </c>
      <c r="B11" s="277"/>
      <c r="C11" s="278"/>
      <c r="E11" s="272">
        <f>0.05*E5</f>
        <v>0</v>
      </c>
      <c r="F11" s="273"/>
    </row>
    <row r="12" spans="5:6" ht="13.5" thickBot="1">
      <c r="E12" s="124"/>
      <c r="F12" s="124"/>
    </row>
    <row r="13" spans="1:6" ht="17.25" customHeight="1" thickBot="1">
      <c r="A13" s="269" t="s">
        <v>97</v>
      </c>
      <c r="B13" s="270"/>
      <c r="C13" s="271"/>
      <c r="E13" s="274">
        <f>E5*0.1</f>
        <v>0</v>
      </c>
      <c r="F13" s="275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5:C5"/>
    <mergeCell ref="E5:F5"/>
    <mergeCell ref="A13:C13"/>
    <mergeCell ref="E9:F9"/>
    <mergeCell ref="E11:F11"/>
    <mergeCell ref="E13:F13"/>
    <mergeCell ref="A9:C9"/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G6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9.875" style="0" customWidth="1"/>
    <col min="3" max="3" width="19.625" style="0" customWidth="1"/>
    <col min="4" max="5" width="14.25390625" style="0" customWidth="1"/>
    <col min="6" max="6" width="11.00390625" style="0" customWidth="1"/>
    <col min="7" max="7" width="22.25390625" style="0" customWidth="1"/>
  </cols>
  <sheetData>
    <row r="5" ht="13.5" thickBot="1"/>
    <row r="6" spans="2:7" ht="15.75" thickBot="1">
      <c r="B6" s="279" t="s">
        <v>98</v>
      </c>
      <c r="C6" s="280"/>
      <c r="D6" s="280"/>
      <c r="E6" s="280"/>
      <c r="F6" s="280"/>
      <c r="G6" s="281"/>
    </row>
    <row r="7" spans="2:7" ht="26.25" thickBot="1">
      <c r="B7" s="125" t="s">
        <v>102</v>
      </c>
      <c r="C7" s="127" t="s">
        <v>103</v>
      </c>
      <c r="D7" s="126" t="s">
        <v>99</v>
      </c>
      <c r="E7" s="128" t="s">
        <v>104</v>
      </c>
      <c r="F7" s="128" t="s">
        <v>100</v>
      </c>
      <c r="G7" s="129" t="s">
        <v>105</v>
      </c>
    </row>
    <row r="8" spans="2:7" ht="15">
      <c r="B8" s="143">
        <v>1500</v>
      </c>
      <c r="C8" s="144">
        <v>1550</v>
      </c>
      <c r="D8" s="145">
        <v>5000</v>
      </c>
      <c r="E8" s="146">
        <f>B8-C8</f>
        <v>-50</v>
      </c>
      <c r="F8" s="147">
        <f>0.0004*D8*SQRT(B8)+0.0003*B8</f>
        <v>77.90966692414834</v>
      </c>
      <c r="G8" s="148" t="str">
        <f>IF((ABS(E8))&lt;F8,B67,C67)</f>
        <v>TECVİZ İÇİ</v>
      </c>
    </row>
    <row r="10" ht="13.5" thickBot="1"/>
    <row r="11" spans="2:7" ht="15.75" thickBot="1">
      <c r="B11" s="279" t="s">
        <v>101</v>
      </c>
      <c r="C11" s="280"/>
      <c r="D11" s="280"/>
      <c r="E11" s="280"/>
      <c r="F11" s="280"/>
      <c r="G11" s="281"/>
    </row>
    <row r="12" spans="2:7" ht="26.25" thickBot="1">
      <c r="B12" s="125" t="s">
        <v>102</v>
      </c>
      <c r="C12" s="127" t="s">
        <v>103</v>
      </c>
      <c r="D12" s="126" t="s">
        <v>99</v>
      </c>
      <c r="E12" s="128" t="s">
        <v>104</v>
      </c>
      <c r="F12" s="128" t="s">
        <v>100</v>
      </c>
      <c r="G12" s="129" t="s">
        <v>105</v>
      </c>
    </row>
    <row r="13" spans="2:7" ht="15">
      <c r="B13" s="143">
        <v>170</v>
      </c>
      <c r="C13" s="144">
        <v>169</v>
      </c>
      <c r="D13" s="145">
        <v>1000</v>
      </c>
      <c r="E13" s="146">
        <f>B13-C13</f>
        <v>1</v>
      </c>
      <c r="F13" s="147">
        <f>0.013*SQRT(D13*B13)+0.0003*B13</f>
        <v>5.411037313302959</v>
      </c>
      <c r="G13" s="148" t="str">
        <f>IF((ABS(E13))&lt;F13,B67,C67)</f>
        <v>TECVİZ İÇİ</v>
      </c>
    </row>
    <row r="67" spans="2:3" ht="12.75">
      <c r="B67" t="s">
        <v>106</v>
      </c>
      <c r="C67" t="s">
        <v>107</v>
      </c>
    </row>
  </sheetData>
  <sheetProtection password="C6DD" sheet="1" formatCells="0" formatColumns="0" formatRows="0" insertColumns="0" insertRows="0" insertHyperlinks="0" deleteColumns="0" deleteRows="0" sort="0" autoFilter="0" pivotTables="0"/>
  <mergeCells count="2">
    <mergeCell ref="B6:G6"/>
    <mergeCell ref="B11:G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kllıl</dc:creator>
  <cp:keywords/>
  <dc:description/>
  <cp:lastModifiedBy>PC</cp:lastModifiedBy>
  <cp:lastPrinted>2017-01-03T23:31:58Z</cp:lastPrinted>
  <dcterms:created xsi:type="dcterms:W3CDTF">1999-12-02T14:51:28Z</dcterms:created>
  <dcterms:modified xsi:type="dcterms:W3CDTF">2017-01-06T16:35:35Z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